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defaultThemeVersion="124226"/>
  <xr:revisionPtr revIDLastSave="0" documentId="13_ncr:1_{A56AD349-EF46-460B-9A78-D680F01337D8}" xr6:coauthVersionLast="47" xr6:coauthVersionMax="47" xr10:uidLastSave="{00000000-0000-0000-0000-000000000000}"/>
  <bookViews>
    <workbookView xWindow="-120" yWindow="-120" windowWidth="20730" windowHeight="11040" firstSheet="1" activeTab="2" xr2:uid="{00000000-000D-0000-FFFF-FFFF00000000}"/>
  </bookViews>
  <sheets>
    <sheet name="DV-IDENTITY-0" sheetId="10" state="veryHidden" r:id="rId1"/>
    <sheet name="HEALTHCARE  CISCO" sheetId="14" r:id="rId2"/>
    <sheet name="HEALTHCARE ARUBA " sheetId="15" r:id="rId3"/>
    <sheet name="HEALTHCARE " sheetId="16" r:id="rId4"/>
    <sheet name="Summary" sheetId="17" r:id="rId5"/>
  </sheets>
  <definedNames>
    <definedName name="_xlnm.Print_Area" localSheetId="3">'HEALTHCARE '!$A:$L</definedName>
    <definedName name="_xlnm.Print_Area" localSheetId="1">'HEALTHCARE  CISCO'!$A:$L</definedName>
    <definedName name="_xlnm.Print_Area" localSheetId="2">'HEALTHCARE ARUBA '!$A:$L</definedName>
    <definedName name="_xlnm.Print_Are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3" i="14" l="1"/>
  <c r="L42" i="14"/>
  <c r="L41" i="14"/>
  <c r="L40" i="14"/>
  <c r="L39" i="14"/>
  <c r="L38" i="14"/>
  <c r="L37" i="14"/>
  <c r="L36" i="14"/>
  <c r="L35" i="14"/>
  <c r="L34" i="14"/>
  <c r="L33" i="14"/>
  <c r="L32" i="14"/>
  <c r="L31" i="14"/>
  <c r="L30" i="14"/>
  <c r="L29" i="14"/>
  <c r="L28" i="14"/>
  <c r="L27" i="14"/>
  <c r="L26" i="14"/>
  <c r="L25" i="14"/>
  <c r="L24" i="14"/>
  <c r="L23" i="14"/>
  <c r="L22" i="14"/>
  <c r="L21" i="14"/>
  <c r="L20" i="14"/>
  <c r="L19" i="14"/>
  <c r="L18" i="14"/>
  <c r="L17" i="14"/>
  <c r="L16" i="14"/>
  <c r="L15" i="14"/>
  <c r="L14" i="14"/>
  <c r="L13" i="14"/>
  <c r="L14" i="16" l="1"/>
  <c r="L13" i="16"/>
  <c r="L12" i="16"/>
  <c r="J16" i="16" l="1"/>
  <c r="G16" i="16"/>
  <c r="G17" i="16" l="1"/>
  <c r="G18" i="16" s="1"/>
  <c r="B3" i="17" a="1"/>
  <c r="B3" i="17" s="1"/>
  <c r="K16" i="16"/>
  <c r="L16" i="16" s="1"/>
  <c r="J17" i="16"/>
  <c r="J18" i="16" s="1"/>
  <c r="J21" i="15" l="1"/>
  <c r="L18" i="15"/>
  <c r="L17" i="15"/>
  <c r="L16" i="15"/>
  <c r="L15" i="15"/>
  <c r="L14" i="15"/>
  <c r="L13" i="15"/>
  <c r="L12" i="15"/>
  <c r="L44" i="14"/>
  <c r="L12" i="14"/>
  <c r="J45" i="14"/>
  <c r="G21" i="15" l="1"/>
  <c r="G22" i="15" s="1"/>
  <c r="G23" i="15" s="1"/>
  <c r="B2" i="17" a="1"/>
  <c r="B2" i="17" s="1"/>
  <c r="K21" i="15"/>
  <c r="L21" i="15" s="1"/>
  <c r="J22" i="15"/>
  <c r="J23" i="15" s="1"/>
  <c r="G45" i="14"/>
  <c r="K45" i="14"/>
  <c r="L45" i="14" s="1"/>
  <c r="J46" i="14"/>
  <c r="J47" i="14" s="1"/>
  <c r="G46" i="14" l="1"/>
  <c r="G47" i="14" s="1"/>
  <c r="M45" i="14"/>
  <c r="B1" i="17" s="1"/>
  <c r="B4" i="17" s="1"/>
  <c r="A4" i="10"/>
  <c r="B4" i="10"/>
  <c r="C4" i="10"/>
  <c r="D4" i="10"/>
  <c r="E4" i="10"/>
  <c r="F4" i="10"/>
  <c r="G4" i="10"/>
  <c r="H4" i="10"/>
  <c r="I4" i="10"/>
  <c r="J4" i="10"/>
  <c r="K4" i="10"/>
  <c r="L4" i="10"/>
  <c r="M4" i="10"/>
  <c r="N4" i="10"/>
  <c r="O4" i="10"/>
  <c r="P4" i="10"/>
  <c r="Q4" i="10"/>
  <c r="R4" i="10"/>
  <c r="S4" i="10"/>
  <c r="T4" i="10"/>
  <c r="U4" i="10"/>
  <c r="V4" i="10"/>
  <c r="W4" i="10"/>
  <c r="X4" i="10"/>
  <c r="Y4" i="10"/>
  <c r="Z4" i="10"/>
  <c r="AA4" i="10"/>
  <c r="AB4" i="10"/>
  <c r="AC4" i="10"/>
  <c r="AD4" i="10"/>
  <c r="AE4" i="10"/>
  <c r="AF4" i="10"/>
  <c r="AG4" i="10"/>
  <c r="AH4" i="10"/>
  <c r="AI4" i="10"/>
  <c r="AJ4" i="10"/>
  <c r="AK4" i="10"/>
  <c r="AL4" i="10"/>
  <c r="AM4" i="10"/>
  <c r="AN4" i="10"/>
  <c r="AO4" i="10"/>
  <c r="AP4" i="10"/>
  <c r="AQ4" i="10"/>
  <c r="AR4" i="10"/>
  <c r="AS4" i="10"/>
  <c r="AT4" i="10"/>
  <c r="AU4" i="10"/>
  <c r="AV4" i="10"/>
  <c r="AW4" i="10"/>
  <c r="AX4" i="10"/>
  <c r="AY4" i="10"/>
  <c r="AZ4" i="10"/>
  <c r="BA4" i="10"/>
  <c r="BB4" i="10"/>
  <c r="BC4" i="10"/>
  <c r="BD4" i="10"/>
  <c r="BE4" i="10"/>
  <c r="BF4" i="10"/>
  <c r="BG4" i="10"/>
  <c r="BH4" i="10"/>
  <c r="BI4" i="10"/>
  <c r="BJ4" i="10"/>
  <c r="BK4" i="10"/>
  <c r="BL4" i="10"/>
  <c r="BM4" i="10"/>
  <c r="BN4" i="10"/>
  <c r="BO4" i="10"/>
  <c r="BP4" i="10"/>
  <c r="BQ4" i="10"/>
  <c r="BR4" i="10"/>
  <c r="BS4" i="10"/>
  <c r="BT4" i="10"/>
  <c r="BU4" i="10"/>
  <c r="BV4" i="10"/>
  <c r="CD4" i="10"/>
  <c r="A3" i="10"/>
  <c r="B3" i="10"/>
  <c r="C3" i="10"/>
  <c r="D3" i="10"/>
  <c r="E3" i="10"/>
  <c r="F3" i="10"/>
  <c r="G3" i="10"/>
  <c r="H3" i="10"/>
  <c r="I3" i="10"/>
  <c r="J3" i="10"/>
  <c r="K3" i="10"/>
  <c r="L3" i="10"/>
  <c r="M3" i="10"/>
  <c r="N3" i="10"/>
  <c r="O3" i="10"/>
  <c r="P3" i="10"/>
  <c r="Q3" i="10"/>
  <c r="R3" i="10"/>
  <c r="S3" i="10"/>
  <c r="T3" i="10"/>
  <c r="U3" i="10"/>
  <c r="V3" i="10"/>
  <c r="W3" i="10"/>
  <c r="X3" i="10"/>
  <c r="Y3" i="10"/>
  <c r="Z3" i="10"/>
  <c r="AA3" i="10"/>
  <c r="AB3" i="10"/>
  <c r="AC3" i="10"/>
  <c r="AD3" i="10"/>
  <c r="AE3" i="10"/>
  <c r="AF3" i="10"/>
  <c r="AG3" i="10"/>
  <c r="AH3" i="10"/>
  <c r="AI3" i="10"/>
  <c r="AJ3" i="10"/>
  <c r="AK3" i="10"/>
  <c r="AL3" i="10"/>
  <c r="AM3" i="10"/>
  <c r="AN3" i="10"/>
  <c r="AO3" i="10"/>
  <c r="AP3" i="10"/>
  <c r="AQ3" i="10"/>
  <c r="AR3" i="10"/>
  <c r="AS3" i="10"/>
  <c r="AT3" i="10"/>
  <c r="AU3" i="10"/>
  <c r="AV3" i="10"/>
  <c r="AW3" i="10"/>
  <c r="AX3" i="10"/>
  <c r="AY3" i="10"/>
  <c r="AZ3" i="10"/>
  <c r="BA3" i="10"/>
  <c r="BB3" i="10"/>
  <c r="BC3" i="10"/>
  <c r="BD3" i="10"/>
  <c r="BE3" i="10"/>
  <c r="BF3" i="10"/>
  <c r="BG3" i="10"/>
  <c r="BH3" i="10"/>
  <c r="BI3" i="10"/>
  <c r="BJ3" i="10"/>
  <c r="BK3" i="10"/>
  <c r="BL3" i="10"/>
  <c r="BM3" i="10"/>
  <c r="BN3" i="10"/>
  <c r="BO3" i="10"/>
  <c r="BP3" i="10"/>
  <c r="BQ3" i="10"/>
  <c r="BR3" i="10"/>
  <c r="BS3" i="10"/>
  <c r="BT3" i="10"/>
  <c r="BU3" i="10"/>
  <c r="BV3" i="10"/>
  <c r="BW3" i="10"/>
  <c r="BX3" i="10"/>
  <c r="BY3" i="10"/>
  <c r="BZ3" i="10"/>
  <c r="CA3" i="10"/>
  <c r="CB3" i="10"/>
  <c r="CC3" i="10"/>
  <c r="CD3" i="10"/>
  <c r="CE3" i="10"/>
  <c r="CF3" i="10"/>
  <c r="CG3" i="10"/>
  <c r="CH3" i="10"/>
  <c r="CI3" i="10"/>
  <c r="CJ3" i="10"/>
  <c r="CK3" i="10"/>
  <c r="CL3" i="10"/>
  <c r="CM3" i="10"/>
  <c r="CN3" i="10"/>
  <c r="CO3" i="10"/>
  <c r="CP3" i="10"/>
  <c r="CQ3" i="10"/>
  <c r="CR3" i="10"/>
  <c r="CS3" i="10"/>
  <c r="CT3" i="10"/>
  <c r="CU3" i="10"/>
  <c r="CV3" i="10"/>
  <c r="CW3" i="10"/>
  <c r="CX3" i="10"/>
  <c r="CY3" i="10"/>
  <c r="CZ3" i="10"/>
  <c r="DA3" i="10"/>
  <c r="DB3" i="10"/>
  <c r="DC3" i="10"/>
  <c r="DD3" i="10"/>
  <c r="DE3" i="10"/>
  <c r="DF3" i="10"/>
  <c r="DG3" i="10"/>
  <c r="DH3" i="10"/>
  <c r="DI3" i="10"/>
  <c r="DJ3" i="10"/>
  <c r="DK3" i="10"/>
  <c r="DL3" i="10"/>
  <c r="DM3" i="10"/>
  <c r="DN3" i="10"/>
  <c r="DO3" i="10"/>
  <c r="DP3" i="10"/>
  <c r="DQ3" i="10"/>
  <c r="DR3" i="10"/>
  <c r="DS3" i="10"/>
  <c r="DT3" i="10"/>
  <c r="DU3" i="10"/>
  <c r="DV3" i="10"/>
  <c r="DW3" i="10"/>
  <c r="DX3" i="10"/>
  <c r="DY3" i="10"/>
  <c r="DZ3" i="10"/>
  <c r="EA3" i="10"/>
  <c r="EB3" i="10"/>
  <c r="EC3" i="10"/>
  <c r="ED3" i="10"/>
  <c r="EE3" i="10"/>
  <c r="EF3" i="10"/>
  <c r="EG3" i="10"/>
  <c r="EH3" i="10"/>
  <c r="EI3" i="10"/>
  <c r="EJ3" i="10"/>
  <c r="EK3" i="10"/>
  <c r="EL3" i="10"/>
  <c r="EM3" i="10"/>
  <c r="EN3" i="10"/>
  <c r="EO3" i="10"/>
  <c r="EP3" i="10"/>
  <c r="EQ3" i="10"/>
  <c r="ER3" i="10"/>
  <c r="ES3" i="10"/>
  <c r="ET3" i="10"/>
  <c r="EU3" i="10"/>
  <c r="EV3" i="10"/>
  <c r="EW3" i="10"/>
  <c r="EX3" i="10"/>
  <c r="EY3" i="10"/>
  <c r="EZ3" i="10"/>
  <c r="FA3" i="10"/>
  <c r="FB3" i="10"/>
  <c r="FC3" i="10"/>
  <c r="FD3" i="10"/>
  <c r="FE3" i="10"/>
  <c r="FF3" i="10"/>
  <c r="FG3" i="10"/>
  <c r="FH3" i="10"/>
  <c r="FI3" i="10"/>
  <c r="FJ3" i="10"/>
  <c r="FK3" i="10"/>
  <c r="FL3" i="10"/>
  <c r="FM3" i="10"/>
  <c r="FN3" i="10"/>
  <c r="FO3" i="10"/>
  <c r="FP3" i="10"/>
  <c r="FQ3" i="10"/>
  <c r="FR3" i="10"/>
  <c r="FS3" i="10"/>
  <c r="FT3" i="10"/>
  <c r="FU3" i="10"/>
  <c r="FV3" i="10"/>
  <c r="FW3" i="10"/>
  <c r="FX3" i="10"/>
  <c r="FY3" i="10"/>
  <c r="FZ3" i="10"/>
  <c r="GA3" i="10"/>
  <c r="GB3" i="10"/>
  <c r="GC3" i="10"/>
  <c r="GD3" i="10"/>
  <c r="GE3" i="10"/>
  <c r="GF3" i="10"/>
  <c r="GG3" i="10"/>
  <c r="GH3" i="10"/>
  <c r="GI3" i="10"/>
  <c r="GJ3" i="10"/>
  <c r="GK3" i="10"/>
  <c r="GL3" i="10"/>
  <c r="GM3" i="10"/>
  <c r="GN3" i="10"/>
  <c r="GO3" i="10"/>
  <c r="GP3" i="10"/>
  <c r="GQ3" i="10"/>
  <c r="GR3" i="10"/>
  <c r="GS3" i="10"/>
  <c r="GT3" i="10"/>
  <c r="GU3" i="10"/>
  <c r="GV3" i="10"/>
  <c r="GW3" i="10"/>
  <c r="GX3" i="10"/>
  <c r="GY3" i="10"/>
  <c r="GZ3" i="10"/>
  <c r="HA3" i="10"/>
  <c r="HB3" i="10"/>
  <c r="HC3" i="10"/>
  <c r="HD3" i="10"/>
  <c r="HE3" i="10"/>
  <c r="HF3" i="10"/>
  <c r="HG3" i="10"/>
  <c r="HH3" i="10"/>
  <c r="HI3" i="10"/>
  <c r="HJ3" i="10"/>
  <c r="HK3" i="10"/>
  <c r="HL3" i="10"/>
  <c r="HM3" i="10"/>
  <c r="HN3" i="10"/>
  <c r="HO3" i="10"/>
  <c r="HP3" i="10"/>
  <c r="HQ3" i="10"/>
  <c r="HR3" i="10"/>
  <c r="HS3" i="10"/>
  <c r="HT3" i="10"/>
  <c r="HU3" i="10"/>
  <c r="HV3" i="10"/>
  <c r="HW3" i="10"/>
  <c r="HX3" i="10"/>
  <c r="HY3" i="10"/>
  <c r="HZ3" i="10"/>
  <c r="IA3" i="10"/>
  <c r="IB3" i="10"/>
  <c r="IC3" i="10"/>
  <c r="ID3" i="10"/>
  <c r="IE3" i="10"/>
  <c r="IF3" i="10"/>
  <c r="IG3" i="10"/>
  <c r="IH3" i="10"/>
  <c r="II3" i="10"/>
  <c r="IJ3" i="10"/>
  <c r="IK3" i="10"/>
  <c r="IL3" i="10"/>
  <c r="IM3" i="10"/>
  <c r="IN3" i="10"/>
  <c r="IO3" i="10"/>
  <c r="IP3" i="10"/>
  <c r="IQ3" i="10"/>
  <c r="IR3" i="10"/>
  <c r="IS3" i="10"/>
  <c r="IT3" i="10"/>
  <c r="IU3" i="10"/>
  <c r="IV3" i="10"/>
  <c r="A2" i="10"/>
  <c r="B2" i="10"/>
  <c r="C2" i="10"/>
  <c r="D2" i="10"/>
  <c r="E2" i="10"/>
  <c r="F2" i="10"/>
  <c r="G2" i="10"/>
  <c r="H2" i="10"/>
  <c r="I2" i="10"/>
  <c r="J2" i="10"/>
  <c r="K2" i="10"/>
  <c r="L2" i="10"/>
  <c r="M2" i="10"/>
  <c r="N2" i="10"/>
  <c r="O2" i="10"/>
  <c r="P2" i="10"/>
  <c r="Q2" i="10"/>
  <c r="R2" i="10"/>
  <c r="S2" i="10"/>
  <c r="T2" i="10"/>
  <c r="U2" i="10"/>
  <c r="V2" i="10"/>
  <c r="W2" i="10"/>
  <c r="X2" i="10"/>
  <c r="Y2" i="10"/>
  <c r="Z2" i="10"/>
  <c r="AA2" i="10"/>
  <c r="AB2" i="10"/>
  <c r="AC2" i="10"/>
  <c r="AD2" i="10"/>
  <c r="AE2" i="10"/>
  <c r="AF2" i="10"/>
  <c r="AG2" i="10"/>
  <c r="AH2" i="10"/>
  <c r="AI2" i="10"/>
  <c r="AJ2" i="10"/>
  <c r="AK2" i="10"/>
  <c r="AL2" i="10"/>
  <c r="AM2" i="10"/>
  <c r="AN2" i="10"/>
  <c r="AO2" i="10"/>
  <c r="AP2" i="10"/>
  <c r="AQ2" i="10"/>
  <c r="AR2" i="10"/>
  <c r="AS2" i="10"/>
  <c r="AT2" i="10"/>
  <c r="AU2" i="10"/>
  <c r="AV2" i="10"/>
  <c r="AW2" i="10"/>
  <c r="AX2" i="10"/>
  <c r="AY2" i="10"/>
  <c r="AZ2" i="10"/>
  <c r="BA2" i="10"/>
  <c r="BB2" i="10"/>
  <c r="BC2" i="10"/>
  <c r="BD2" i="10"/>
  <c r="BE2" i="10"/>
  <c r="BF2" i="10"/>
  <c r="BG2" i="10"/>
  <c r="BH2" i="10"/>
  <c r="BI2" i="10"/>
  <c r="BJ2" i="10"/>
  <c r="BK2" i="10"/>
  <c r="BL2" i="10"/>
  <c r="BM2" i="10"/>
  <c r="BN2" i="10"/>
  <c r="BO2" i="10"/>
  <c r="BP2" i="10"/>
  <c r="BQ2" i="10"/>
  <c r="BR2" i="10"/>
  <c r="BS2" i="10"/>
  <c r="BT2" i="10"/>
  <c r="BU2" i="10"/>
  <c r="BV2" i="10"/>
  <c r="BW2" i="10"/>
  <c r="BX2" i="10"/>
  <c r="BY2" i="10"/>
  <c r="BZ2" i="10"/>
  <c r="CA2" i="10"/>
  <c r="CB2" i="10"/>
  <c r="CC2" i="10"/>
  <c r="CD2" i="10"/>
  <c r="CE2" i="10"/>
  <c r="CF2" i="10"/>
  <c r="CG2" i="10"/>
  <c r="CH2" i="10"/>
  <c r="CI2" i="10"/>
  <c r="CJ2" i="10"/>
  <c r="CK2" i="10"/>
  <c r="CL2" i="10"/>
  <c r="CM2" i="10"/>
  <c r="CN2" i="10"/>
  <c r="CO2" i="10"/>
  <c r="CP2" i="10"/>
  <c r="CQ2" i="10"/>
  <c r="CR2" i="10"/>
  <c r="CS2" i="10"/>
  <c r="CT2" i="10"/>
  <c r="CU2" i="10"/>
  <c r="CV2" i="10"/>
  <c r="CW2" i="10"/>
  <c r="CX2" i="10"/>
  <c r="CY2" i="10"/>
  <c r="CZ2" i="10"/>
  <c r="DA2" i="10"/>
  <c r="DB2" i="10"/>
  <c r="DC2" i="10"/>
  <c r="DD2" i="10"/>
  <c r="DE2" i="10"/>
  <c r="DF2" i="10"/>
  <c r="DG2" i="10"/>
  <c r="DH2" i="10"/>
  <c r="DI2" i="10"/>
  <c r="DJ2" i="10"/>
  <c r="DK2" i="10"/>
  <c r="DL2" i="10"/>
  <c r="DM2" i="10"/>
  <c r="DN2" i="10"/>
  <c r="DO2" i="10"/>
  <c r="DP2" i="10"/>
  <c r="DQ2" i="10"/>
  <c r="DR2" i="10"/>
  <c r="DS2" i="10"/>
  <c r="DT2" i="10"/>
  <c r="DU2" i="10"/>
  <c r="DV2" i="10"/>
  <c r="DW2" i="10"/>
  <c r="DX2" i="10"/>
  <c r="DY2" i="10"/>
  <c r="DZ2" i="10"/>
  <c r="EA2" i="10"/>
  <c r="EB2" i="10"/>
  <c r="EC2" i="10"/>
  <c r="ED2" i="10"/>
  <c r="EE2" i="10"/>
  <c r="EF2" i="10"/>
  <c r="EG2" i="10"/>
  <c r="EH2" i="10"/>
  <c r="EI2" i="10"/>
  <c r="EJ2" i="10"/>
  <c r="EK2" i="10"/>
  <c r="EL2" i="10"/>
  <c r="EM2" i="10"/>
  <c r="EN2" i="10"/>
  <c r="EO2" i="10"/>
  <c r="EP2" i="10"/>
  <c r="EQ2" i="10"/>
  <c r="ER2" i="10"/>
  <c r="ES2" i="10"/>
  <c r="ET2" i="10"/>
  <c r="EU2" i="10"/>
  <c r="EV2" i="10"/>
  <c r="EW2" i="10"/>
  <c r="EX2" i="10"/>
  <c r="EY2" i="10"/>
  <c r="EZ2" i="10"/>
  <c r="FA2" i="10"/>
  <c r="FB2" i="10"/>
  <c r="FC2" i="10"/>
  <c r="FD2" i="10"/>
  <c r="FE2" i="10"/>
  <c r="FF2" i="10"/>
  <c r="FG2" i="10"/>
  <c r="FH2" i="10"/>
  <c r="FI2" i="10"/>
  <c r="FJ2" i="10"/>
  <c r="FK2" i="10"/>
  <c r="FL2" i="10"/>
  <c r="FM2" i="10"/>
  <c r="FN2" i="10"/>
  <c r="FO2" i="10"/>
  <c r="FP2" i="10"/>
  <c r="FQ2" i="10"/>
  <c r="FR2" i="10"/>
  <c r="FS2" i="10"/>
  <c r="FT2" i="10"/>
  <c r="FU2" i="10"/>
  <c r="FV2" i="10"/>
  <c r="FW2" i="10"/>
  <c r="FX2" i="10"/>
  <c r="FY2" i="10"/>
  <c r="FZ2" i="10"/>
  <c r="GA2" i="10"/>
  <c r="GB2" i="10"/>
  <c r="GC2" i="10"/>
  <c r="GD2" i="10"/>
  <c r="GE2" i="10"/>
  <c r="GF2" i="10"/>
  <c r="GG2" i="10"/>
  <c r="GH2" i="10"/>
  <c r="GI2" i="10"/>
  <c r="GJ2" i="10"/>
  <c r="GK2" i="10"/>
  <c r="GL2" i="10"/>
  <c r="GM2" i="10"/>
  <c r="GN2" i="10"/>
  <c r="GO2" i="10"/>
  <c r="GP2" i="10"/>
  <c r="GQ2" i="10"/>
  <c r="GR2" i="10"/>
  <c r="GS2" i="10"/>
  <c r="GT2" i="10"/>
  <c r="GU2" i="10"/>
  <c r="GV2" i="10"/>
  <c r="GW2" i="10"/>
  <c r="GX2" i="10"/>
  <c r="GY2" i="10"/>
  <c r="GZ2" i="10"/>
  <c r="HA2" i="10"/>
  <c r="HB2" i="10"/>
  <c r="HC2" i="10"/>
  <c r="HD2" i="10"/>
  <c r="HE2" i="10"/>
  <c r="HF2" i="10"/>
  <c r="HG2" i="10"/>
  <c r="HH2" i="10"/>
  <c r="HI2" i="10"/>
  <c r="HJ2" i="10"/>
  <c r="HK2" i="10"/>
  <c r="HL2" i="10"/>
  <c r="HM2" i="10"/>
  <c r="HN2" i="10"/>
  <c r="HO2" i="10"/>
  <c r="HP2" i="10"/>
  <c r="HQ2" i="10"/>
  <c r="HR2" i="10"/>
  <c r="HS2" i="10"/>
  <c r="HT2" i="10"/>
  <c r="HU2" i="10"/>
  <c r="HV2" i="10"/>
  <c r="HW2" i="10"/>
  <c r="HX2" i="10"/>
  <c r="HY2" i="10"/>
  <c r="HZ2" i="10"/>
  <c r="IA2" i="10"/>
  <c r="IB2" i="10"/>
  <c r="IC2" i="10"/>
  <c r="ID2" i="10"/>
  <c r="IE2" i="10"/>
  <c r="IF2" i="10"/>
  <c r="IG2" i="10"/>
  <c r="IH2" i="10"/>
  <c r="II2" i="10"/>
  <c r="IJ2" i="10"/>
  <c r="IK2" i="10"/>
  <c r="IL2" i="10"/>
  <c r="IM2" i="10"/>
  <c r="IN2" i="10"/>
  <c r="IO2" i="10"/>
  <c r="IP2" i="10"/>
  <c r="IQ2" i="10"/>
  <c r="IR2" i="10"/>
  <c r="IS2" i="10"/>
  <c r="IT2" i="10"/>
  <c r="IU2" i="10"/>
  <c r="IV2" i="10"/>
  <c r="A1" i="10"/>
  <c r="B1" i="10"/>
  <c r="C1" i="10"/>
  <c r="D1" i="10"/>
  <c r="E1" i="10"/>
  <c r="F1" i="10"/>
  <c r="G1" i="10"/>
  <c r="H1" i="10"/>
  <c r="I1" i="10"/>
  <c r="J1" i="10"/>
  <c r="K1" i="10"/>
  <c r="L1" i="10"/>
  <c r="M1" i="10"/>
  <c r="N1" i="10"/>
  <c r="O1" i="10"/>
  <c r="P1" i="10"/>
  <c r="Q1" i="10"/>
  <c r="R1" i="10"/>
  <c r="S1" i="10"/>
  <c r="T1" i="10"/>
  <c r="U1" i="10"/>
  <c r="V1" i="10"/>
  <c r="W1" i="10"/>
  <c r="X1" i="10"/>
  <c r="Y1" i="10"/>
  <c r="Z1" i="10"/>
  <c r="AA1" i="10"/>
  <c r="AB1" i="10"/>
  <c r="AC1" i="10"/>
  <c r="AD1" i="10"/>
  <c r="AE1" i="10"/>
  <c r="AF1" i="10"/>
  <c r="AG1" i="10"/>
  <c r="AH1" i="10"/>
  <c r="AI1" i="10"/>
  <c r="AJ1" i="10"/>
  <c r="AK1" i="10"/>
  <c r="AL1" i="10"/>
  <c r="AM1" i="10"/>
  <c r="AN1" i="10"/>
  <c r="AO1" i="10"/>
  <c r="AP1" i="10"/>
  <c r="AQ1" i="10"/>
  <c r="AR1" i="10"/>
  <c r="AS1" i="10"/>
  <c r="AT1" i="10"/>
  <c r="AU1" i="10"/>
  <c r="AV1" i="10"/>
  <c r="AW1" i="10"/>
  <c r="AX1" i="10"/>
  <c r="AY1" i="10"/>
  <c r="AZ1" i="10"/>
  <c r="BA1" i="10"/>
  <c r="BB1" i="10"/>
  <c r="BC1" i="10"/>
  <c r="BD1" i="10"/>
  <c r="BE1" i="10"/>
  <c r="BF1" i="10"/>
  <c r="BG1" i="10"/>
  <c r="BH1" i="10"/>
  <c r="BI1" i="10"/>
  <c r="BJ1" i="10"/>
  <c r="BK1" i="10"/>
  <c r="BL1" i="10"/>
  <c r="BM1" i="10"/>
  <c r="BN1" i="10"/>
  <c r="BO1" i="10"/>
  <c r="BP1" i="10"/>
  <c r="BQ1" i="10"/>
  <c r="BR1" i="10"/>
  <c r="BS1" i="10"/>
  <c r="BT1" i="10"/>
  <c r="BU1" i="10"/>
  <c r="BV1" i="10"/>
  <c r="BW1" i="10"/>
  <c r="BX1" i="10"/>
  <c r="BY1" i="10"/>
  <c r="BZ1" i="10"/>
  <c r="CA1" i="10"/>
  <c r="CB1" i="10"/>
  <c r="CC1" i="10"/>
  <c r="CD1" i="10"/>
  <c r="CE1" i="10"/>
  <c r="CF1" i="10"/>
  <c r="CG1" i="10"/>
  <c r="CH1" i="10"/>
  <c r="CI1" i="10"/>
  <c r="CJ1" i="10"/>
  <c r="CK1" i="10"/>
  <c r="CL1" i="10"/>
  <c r="CM1" i="10"/>
  <c r="CN1" i="10"/>
  <c r="CO1" i="10"/>
  <c r="CP1" i="10"/>
  <c r="CQ1" i="10"/>
  <c r="CR1" i="10"/>
  <c r="CS1" i="10"/>
  <c r="CT1" i="10"/>
  <c r="CU1" i="10"/>
  <c r="CV1" i="10"/>
  <c r="CW1" i="10"/>
  <c r="CX1" i="10"/>
  <c r="CY1" i="10"/>
  <c r="CZ1" i="10"/>
  <c r="DA1" i="10"/>
  <c r="DB1" i="10"/>
  <c r="DC1" i="10"/>
  <c r="DD1" i="10"/>
  <c r="DE1" i="10"/>
  <c r="DF1" i="10"/>
  <c r="DG1" i="10"/>
  <c r="DH1" i="10"/>
  <c r="DI1" i="10"/>
  <c r="DJ1" i="10"/>
  <c r="DK1" i="10"/>
  <c r="DL1" i="10"/>
  <c r="DM1" i="10"/>
  <c r="DN1" i="10"/>
  <c r="DO1" i="10"/>
  <c r="DP1" i="10"/>
  <c r="DQ1" i="10"/>
  <c r="DR1" i="10"/>
  <c r="DS1" i="10"/>
  <c r="DT1" i="10"/>
  <c r="DU1" i="10"/>
  <c r="DV1" i="10"/>
  <c r="DW1" i="10"/>
  <c r="DX1" i="10"/>
  <c r="DY1" i="10"/>
  <c r="DZ1" i="10"/>
  <c r="EA1" i="10"/>
  <c r="EB1" i="10"/>
  <c r="EC1" i="10"/>
  <c r="ED1" i="10"/>
  <c r="EE1" i="10"/>
  <c r="EF1" i="10"/>
  <c r="EG1" i="10"/>
  <c r="EH1" i="10"/>
  <c r="EI1" i="10"/>
  <c r="EJ1" i="10"/>
  <c r="EK1" i="10"/>
  <c r="EL1" i="10"/>
  <c r="EM1" i="10"/>
  <c r="EN1" i="10"/>
  <c r="EO1" i="10"/>
  <c r="EP1" i="10"/>
  <c r="EQ1" i="10"/>
  <c r="ER1" i="10"/>
  <c r="ES1" i="10"/>
  <c r="ET1" i="10"/>
  <c r="EU1" i="10"/>
  <c r="EV1" i="10"/>
  <c r="EW1" i="10"/>
  <c r="EX1" i="10"/>
  <c r="EY1" i="10"/>
  <c r="EZ1" i="10"/>
  <c r="FA1" i="10"/>
  <c r="FB1" i="10"/>
  <c r="FC1" i="10"/>
  <c r="FD1" i="10"/>
  <c r="FE1" i="10"/>
  <c r="FF1" i="10"/>
  <c r="FG1" i="10"/>
  <c r="FH1" i="10"/>
  <c r="FI1" i="10"/>
  <c r="FJ1" i="10"/>
  <c r="FK1" i="10"/>
  <c r="FL1" i="10"/>
  <c r="FM1" i="10"/>
  <c r="FN1" i="10"/>
  <c r="FO1" i="10"/>
  <c r="FP1" i="10"/>
  <c r="FQ1" i="10"/>
  <c r="FR1" i="10"/>
  <c r="FS1" i="10"/>
  <c r="FT1" i="10"/>
  <c r="FU1" i="10"/>
  <c r="FV1" i="10"/>
  <c r="FW1" i="10"/>
  <c r="FX1" i="10"/>
  <c r="FY1" i="10"/>
  <c r="FZ1" i="10"/>
  <c r="GA1" i="10"/>
  <c r="GB1" i="10"/>
  <c r="GC1" i="10"/>
  <c r="GD1" i="10"/>
  <c r="GE1" i="10"/>
  <c r="GF1" i="10"/>
  <c r="GG1" i="10"/>
  <c r="GH1" i="10"/>
  <c r="GI1" i="10"/>
  <c r="GJ1" i="10"/>
  <c r="GK1" i="10"/>
  <c r="GL1" i="10"/>
  <c r="GM1" i="10"/>
  <c r="GN1" i="10"/>
  <c r="GO1" i="10"/>
  <c r="GP1" i="10"/>
  <c r="GQ1" i="10"/>
  <c r="GR1" i="10"/>
  <c r="GS1" i="10"/>
  <c r="GT1" i="10"/>
  <c r="GU1" i="10"/>
  <c r="GV1" i="10"/>
  <c r="GW1" i="10"/>
  <c r="GX1" i="10"/>
  <c r="GY1" i="10"/>
  <c r="GZ1" i="10"/>
  <c r="HA1" i="10"/>
  <c r="HB1" i="10"/>
  <c r="HC1" i="10"/>
  <c r="HD1" i="10"/>
  <c r="HE1" i="10"/>
  <c r="HF1" i="10"/>
  <c r="HG1" i="10"/>
  <c r="HH1" i="10"/>
  <c r="HI1" i="10"/>
  <c r="HJ1" i="10"/>
  <c r="HK1" i="10"/>
  <c r="HL1" i="10"/>
  <c r="HM1" i="10"/>
  <c r="HN1" i="10"/>
  <c r="HO1" i="10"/>
  <c r="HP1" i="10"/>
  <c r="HQ1" i="10"/>
  <c r="HR1" i="10"/>
  <c r="HS1" i="10"/>
  <c r="HT1" i="10"/>
  <c r="HU1" i="10"/>
  <c r="HV1" i="10"/>
  <c r="HW1" i="10"/>
  <c r="HX1" i="10"/>
  <c r="HY1" i="10"/>
  <c r="HZ1" i="10"/>
  <c r="IA1" i="10"/>
  <c r="IB1" i="10"/>
  <c r="IC1" i="10"/>
  <c r="ID1" i="10"/>
  <c r="IE1" i="10"/>
  <c r="IF1" i="10"/>
  <c r="IG1" i="10"/>
  <c r="IH1" i="10"/>
  <c r="II1" i="10"/>
  <c r="IJ1" i="10"/>
  <c r="IK1" i="10"/>
  <c r="IL1" i="10"/>
  <c r="IM1" i="10"/>
  <c r="IN1" i="10"/>
  <c r="IO1" i="10"/>
  <c r="IP1" i="10"/>
  <c r="IQ1" i="10"/>
  <c r="IR1" i="10"/>
  <c r="IS1" i="10"/>
  <c r="IT1" i="10"/>
  <c r="IU1" i="10"/>
  <c r="IV1" i="10"/>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<sst xmlns="http://schemas.openxmlformats.org/spreadsheetml/2006/main" count="617" uniqueCount="181">
  <si>
    <t>Q'ty</t>
  </si>
  <si>
    <t>AAAAAEvf10o=</t>
  </si>
  <si>
    <t>AAAAAEvf10s=</t>
  </si>
  <si>
    <t>AAAAAEvf10w=</t>
  </si>
  <si>
    <t>AAAAAEvf100=</t>
  </si>
  <si>
    <t>AAAAAEvf104=</t>
  </si>
  <si>
    <t>AAAAAEvf108=</t>
  </si>
  <si>
    <t>AAAAAEvf11A=</t>
  </si>
  <si>
    <t>Warranty</t>
  </si>
  <si>
    <t xml:space="preserve">Delivery </t>
  </si>
  <si>
    <t>Validity</t>
  </si>
  <si>
    <t>Octroi</t>
  </si>
  <si>
    <t>As per actuals as per region and location delivery if applicable</t>
  </si>
  <si>
    <t>OEM Standard</t>
  </si>
  <si>
    <t>Installation</t>
  </si>
  <si>
    <t>Terms &amp; Conditions</t>
  </si>
  <si>
    <t>Freight</t>
  </si>
  <si>
    <t>0.5% of PO value. if the delivery locations are other then Bangalore, Delhi &amp; Mumbai,Ahmedabad &amp; Pune</t>
  </si>
  <si>
    <t>Mode</t>
  </si>
  <si>
    <t>By Road, ( By Air cost as per actual if required- on Request)</t>
  </si>
  <si>
    <t xml:space="preserve">Packing </t>
  </si>
  <si>
    <t>Extra , incase special packing required</t>
  </si>
  <si>
    <t>Insurance</t>
  </si>
  <si>
    <t>Our scope up to delivery address given in PO. The same will arrange &amp; born by you incase delivery required other then PO address.</t>
  </si>
  <si>
    <t>Road Form</t>
  </si>
  <si>
    <t xml:space="preserve">Road Form OR stock transfer letter will be provided by you .( Will revise quote incase you are unable to provide the same), </t>
  </si>
  <si>
    <t>Octroi / Entry Tax</t>
  </si>
  <si>
    <t>To be paid by you as actual.</t>
  </si>
  <si>
    <t>Product Manuals</t>
  </si>
  <si>
    <t>Manuals are integrated with the electronic help system or as per OEM standard.</t>
  </si>
  <si>
    <t>LD Clause</t>
  </si>
  <si>
    <t>We do not accept LD unless agreed.</t>
  </si>
  <si>
    <t>Cancellation Charges</t>
  </si>
  <si>
    <t>zero % of PO value within first 5 days ,20%  5- 15 days , no cancellation acceptable after 20 days.</t>
  </si>
  <si>
    <t>Damage In transit</t>
  </si>
  <si>
    <t>All goods are insured in transit. Buyer will inspect the goods immediately on arrival thereof and will, within 2 days from the date of arrival give the notice of any damage/loss in transit found in the goods. If the Buyer fails to give such notice, goods will be deemed to be in order and no claim from the Buyer will be entertained thereafter.</t>
  </si>
  <si>
    <t>Late Payment</t>
  </si>
  <si>
    <t>Interest @ 24% per annum will be levied if paid beyond the due date</t>
  </si>
  <si>
    <t>Force Majeure Clause</t>
  </si>
  <si>
    <t>This offer is submitted on the understanding that the Company will not be responsible for delay or failure to execute orders if such delay or failure is due to causes unforeseen ( export hold) or beyond the control of the Company such as Strikes, riots or civil commotion, fire, floods, damage or accident to Machinery, non-availability or raw materials/components, non-availability Of transport facilities and such other causes beyond the Company’s control.</t>
  </si>
  <si>
    <t>Arbitration</t>
  </si>
  <si>
    <t>All disputes would be settled mutually. In case of any difference, a mutually appointed arbitrator’s decision would be binding on both parties. The Company’s Head Office being in Bangalore ,it is always understood that  the cause of action in all contracts shall be deemed to have arisen in Bangalore.  All disputes would therefore be settled within the jurisdiction of Bangalore.</t>
  </si>
  <si>
    <t>Our Website</t>
  </si>
  <si>
    <t>www.connectivitysolutions.in</t>
  </si>
  <si>
    <t>GENERAL CONDITIONS OF SALE OF GOODS</t>
  </si>
  <si>
    <t>Products Description
SUPPLY</t>
  </si>
  <si>
    <t xml:space="preserve">Quote No. : </t>
  </si>
  <si>
    <t xml:space="preserve">Date : </t>
  </si>
  <si>
    <t xml:space="preserve">Payment Term : </t>
  </si>
  <si>
    <t xml:space="preserve">Inquiry  date : </t>
  </si>
  <si>
    <t xml:space="preserve">From : </t>
  </si>
  <si>
    <t xml:space="preserve">     To :</t>
  </si>
  <si>
    <t>PROPOSAL</t>
  </si>
  <si>
    <t>Taxation</t>
  </si>
  <si>
    <t>By Road, (By Air cost as per actual if required- on Request)</t>
  </si>
  <si>
    <t>Not included in this Proposal</t>
  </si>
  <si>
    <t>Actual. if the delivery locations are other then Bangalore, Delhi, Chennai &amp; Mumbai</t>
  </si>
  <si>
    <t>Extra, incase of special packing is required</t>
  </si>
  <si>
    <t>To be paid by Customer as actual.</t>
  </si>
  <si>
    <t>This offer is submitted on the understanding that the Company will not be responsible for delay or failure to execute orders if such delay or failure is due to causes unforeseen (export hold) or beyond the control of the Company such as Strikes, riots or civil commotion, fire, floods, damage or accident to Machinery, non-availability or raw materials/components, non-availability Of transport facilities and such other causes beyond the Company’s control.</t>
  </si>
  <si>
    <t>Road Form OR stock transfer letter will be provided by you .(Will revise quote incase you are unable to provide the same)</t>
  </si>
  <si>
    <t>Order to be release On</t>
  </si>
  <si>
    <t>Bank Details</t>
  </si>
  <si>
    <t>PAN Card Number</t>
  </si>
  <si>
    <t xml:space="preserve">PH : </t>
  </si>
  <si>
    <t>Dear Customer,
We thank you for giving Connectivity Solutions the opportunity to Propose the Solution for your Business needs , Subject to our General Conditions of Sale of Goods as printed herein &amp; overleaf, We are pleased to submit our Proposal for your requirement.</t>
  </si>
  <si>
    <t>P/N Number</t>
  </si>
  <si>
    <t>SL</t>
  </si>
  <si>
    <t>Assuring you of our best attention at all times, and looking forward to your valuable Order at earliest.</t>
  </si>
  <si>
    <t>AAMPN5492P</t>
  </si>
  <si>
    <t>Sowmya</t>
  </si>
  <si>
    <t>Unit price</t>
  </si>
  <si>
    <t>DURATION</t>
  </si>
  <si>
    <t>IFSC Code:ICIC0000002</t>
  </si>
  <si>
    <r>
      <rPr>
        <b/>
        <sz val="10"/>
        <rFont val="Calibri"/>
        <family val="2"/>
        <scheme val="minor"/>
      </rPr>
      <t>Name of the Company:</t>
    </r>
    <r>
      <rPr>
        <sz val="10"/>
        <rFont val="Calibri"/>
        <family val="2"/>
        <scheme val="minor"/>
      </rPr>
      <t xml:space="preserve"> Connectivity IT Solutions Pvt Ltd GST NO - 29AAGCC1283L1ZC</t>
    </r>
  </si>
  <si>
    <r>
      <rPr>
        <b/>
        <sz val="10"/>
        <rFont val="Calibri"/>
        <family val="2"/>
        <scheme val="minor"/>
      </rPr>
      <t xml:space="preserve">Registered Address: </t>
    </r>
    <r>
      <rPr>
        <sz val="10"/>
        <rFont val="Calibri"/>
        <family val="2"/>
        <scheme val="minor"/>
      </rPr>
      <t>#1877, 3rd Floor, “Gangothri”, 31st Cross, 10th Main, Banashankari 2nd Stage,Bengaluru – 560070</t>
    </r>
  </si>
  <si>
    <r>
      <rPr>
        <b/>
        <sz val="10"/>
        <rFont val="Calibri"/>
        <family val="2"/>
        <scheme val="minor"/>
      </rPr>
      <t>Name of the Bank:</t>
    </r>
    <r>
      <rPr>
        <sz val="10"/>
        <rFont val="Calibri"/>
        <family val="2"/>
        <scheme val="minor"/>
      </rPr>
      <t>ICICI BANK</t>
    </r>
  </si>
  <si>
    <r>
      <rPr>
        <b/>
        <sz val="10"/>
        <rFont val="Calibri"/>
        <family val="2"/>
        <scheme val="minor"/>
      </rPr>
      <t>Bank Branch Address:</t>
    </r>
    <r>
      <rPr>
        <sz val="10"/>
        <rFont val="Calibri"/>
        <family val="2"/>
        <scheme val="minor"/>
      </rPr>
      <t xml:space="preserve"> No 2, FKCCI Building, Gandhi Nagar, KG Road, BengaluruK G Road, Bengaluru</t>
    </r>
  </si>
  <si>
    <r>
      <rPr>
        <b/>
        <sz val="10"/>
        <rFont val="Calibri"/>
        <family val="2"/>
        <scheme val="minor"/>
      </rPr>
      <t>Account Number:</t>
    </r>
    <r>
      <rPr>
        <sz val="10"/>
        <rFont val="Calibri"/>
        <family val="2"/>
        <scheme val="minor"/>
      </rPr>
      <t xml:space="preserve"> 000205026541</t>
    </r>
  </si>
  <si>
    <r>
      <t xml:space="preserve">Swift Code: </t>
    </r>
    <r>
      <rPr>
        <sz val="10"/>
        <rFont val="Calibri"/>
        <family val="2"/>
        <scheme val="minor"/>
      </rPr>
      <t>ICICINBBCTS</t>
    </r>
  </si>
  <si>
    <t xml:space="preserve">M/s Connectivity IT Solutions Pvt Ltd
Kindly mention our Quotation Reference number in your Purchase order. </t>
  </si>
  <si>
    <t>Total</t>
  </si>
  <si>
    <t>GST @ 18%</t>
  </si>
  <si>
    <t>Extended Price
INR</t>
  </si>
  <si>
    <t>Unit price in INR</t>
  </si>
  <si>
    <t>Extended Price</t>
  </si>
  <si>
    <t>Dur</t>
  </si>
  <si>
    <t>8-10 weeks</t>
  </si>
  <si>
    <t>www.cosol.in</t>
  </si>
  <si>
    <t>NETWORK-PNP-LIC</t>
  </si>
  <si>
    <t>Network Plug-n-Play Connect for zero-touch device deployment</t>
  </si>
  <si>
    <t>PWR-C1-715WAC-P</t>
  </si>
  <si>
    <t>CAB-TA-IN</t>
  </si>
  <si>
    <t>C9300-SSD-NONE</t>
  </si>
  <si>
    <t>C9K-ACC-RBFT</t>
  </si>
  <si>
    <t>C9K-ACC-SCR-4</t>
  </si>
  <si>
    <t>CAB-GUIDE-1RU</t>
  </si>
  <si>
    <t>715W AC 80+ platinum Config 1 Power Supply</t>
  </si>
  <si>
    <t>India AC Type A Power Cable</t>
  </si>
  <si>
    <t>No SSD Card Selected</t>
  </si>
  <si>
    <t>RUBBER FEET FOR TABLE TOP SETUP 9200 and 9300</t>
  </si>
  <si>
    <t>12-24 and 10-32 SCREWS FOR RACK INSTALLATION, QTY 4</t>
  </si>
  <si>
    <t>1RU CABLE MANAGEMENT GUIDES 9200 and 9300</t>
  </si>
  <si>
    <t>NET 45</t>
  </si>
  <si>
    <t>C9300-NM-8X</t>
  </si>
  <si>
    <t>Catalyst 9300 8 x 10GE Network Module</t>
  </si>
  <si>
    <t>CAB-SPWR-30CM</t>
  </si>
  <si>
    <t>Catalyst Stack Power Cable 30 CM</t>
  </si>
  <si>
    <t>STACK-T1-50CM</t>
  </si>
  <si>
    <t>50CM Type 1 Stacking Cable</t>
  </si>
  <si>
    <t>---</t>
  </si>
  <si>
    <t>45 days</t>
  </si>
  <si>
    <t>C9500-48Y4C-A</t>
  </si>
  <si>
    <t>C9500-DNA-48Y4C-A</t>
  </si>
  <si>
    <t>C9500-DNA-A-3Y</t>
  </si>
  <si>
    <t>CAB-IND-10A</t>
  </si>
  <si>
    <t>C9K-PWR-650WAC-R</t>
  </si>
  <si>
    <t>C9K-PWR-650WAC-R/2</t>
  </si>
  <si>
    <t>C9K-F1-SSD-BLANK</t>
  </si>
  <si>
    <t>C9K-T1-FANTRAY</t>
  </si>
  <si>
    <t>C9500-NW-A</t>
  </si>
  <si>
    <t>C9500-SSD-NONE</t>
  </si>
  <si>
    <t>C9500-RFID-NONE</t>
  </si>
  <si>
    <t>C9300-48P-E</t>
  </si>
  <si>
    <t>C9300-DNA-E-48</t>
  </si>
  <si>
    <t>C9300-DNA-E-48-3Y</t>
  </si>
  <si>
    <t>C9300-NW-E-48</t>
  </si>
  <si>
    <t>SFP-10G-SR=</t>
  </si>
  <si>
    <t>GLC-SX-MMD=</t>
  </si>
  <si>
    <t>GLC-TE=</t>
  </si>
  <si>
    <t>Catalyst 9500 48-port x 1/10/25G + 4-port 40/100G, Advantage</t>
  </si>
  <si>
    <t>C9500 DNA Advantage, Term License</t>
  </si>
  <si>
    <t>Cisco Catalyst 9500 DNA Advantage 3 Year License</t>
  </si>
  <si>
    <t>10A Power cable for India</t>
  </si>
  <si>
    <t>650W AC Config 4 Power Supply front to back cooling</t>
  </si>
  <si>
    <t>Cisco pluggable SSD storage</t>
  </si>
  <si>
    <t>Catalyst 9500 Type 4 front to back cooling Fan</t>
  </si>
  <si>
    <t>C9500 Network Stack, Advantage</t>
  </si>
  <si>
    <t>No RFID Selected</t>
  </si>
  <si>
    <t>Catalyst 9300 48-port PoE+, Network Essentials</t>
  </si>
  <si>
    <t>C9300 DNA Essentials, 48-Port Term Licenses</t>
  </si>
  <si>
    <t>C9300 DNA Essentials, 48-port - 3 Year Term License</t>
  </si>
  <si>
    <t>C9300 Network Essentials, 48-port license</t>
  </si>
  <si>
    <t>10GBASE-SR SFP Module</t>
  </si>
  <si>
    <t>1000BASE-SX SFP transceiver module, MMF, 850nm, DOM</t>
  </si>
  <si>
    <t>1000BASE-T SFP transceiver module for Category 5 copper wire</t>
  </si>
  <si>
    <t>IMPLEMENTATION</t>
  </si>
  <si>
    <t>Merck Healthcare</t>
  </si>
  <si>
    <t>CS-INR-0026-25-26</t>
  </si>
  <si>
    <t>R3J18A</t>
  </si>
  <si>
    <t>R4X13A</t>
  </si>
  <si>
    <t>HPE Aruba Networking 9012‑MNT‑19 Spare Rack Mount Kit</t>
  </si>
  <si>
    <t>JW119A</t>
  </si>
  <si>
    <t>J4858D</t>
  </si>
  <si>
    <t>S9500UK9-179</t>
  </si>
  <si>
    <t>C9300-SPS-NONE</t>
  </si>
  <si>
    <t>SC9300UK9-179</t>
  </si>
  <si>
    <t>Cisco Catalyst 9500 XE 17.9 UNIVERSAL</t>
  </si>
  <si>
    <t>No Secondary Power Supply Selected</t>
  </si>
  <si>
    <t>Cisco Catalyst 9300 XE 17.9 UNIVERSAL UNIVERSAL</t>
  </si>
  <si>
    <t>EC-BW-500-1MO</t>
  </si>
  <si>
    <t>EC-XS</t>
  </si>
  <si>
    <t>EC-XS-MAINT-1MO</t>
  </si>
  <si>
    <t>HPE Aruba Networking EdgeConnect BW License, 500Mbps Bandwidth, Per EC Instance, 1 Month (Start Date: Jun-12-2025 End Date:Dec-10-2029)</t>
  </si>
  <si>
    <t>Unity EdgeConnect Extra-Small Chassis, 6x RJ45 10/100/1000</t>
  </si>
  <si>
    <t>Unity EdgeConnect Extra-Small Chassis, 6x RJ45 10/100/1000, 1
Month Maintenance</t>
  </si>
  <si>
    <t>2</t>
  </si>
  <si>
    <t>Cisco</t>
  </si>
  <si>
    <t>Aruba</t>
  </si>
  <si>
    <t>Silver Peak</t>
  </si>
  <si>
    <t>R1B37A</t>
  </si>
  <si>
    <t>HPE Aruba Networking 9012 (RW) TAA 12xGbE 6xPoE+ Branch 2K Clients - 32 APs Gateway</t>
  </si>
  <si>
    <t>HQ6L9E</t>
  </si>
  <si>
    <t>Aruba 1Y FC NBD Exch 9012 TAA SVC  [for R1B37A]</t>
  </si>
  <si>
    <t>JZ346A</t>
  </si>
  <si>
    <t>HPE Aruba Networking AP-535 (RW) TAA Dual Radio 4x4 802.11ax Internal Antennas Unified Campus AP</t>
  </si>
  <si>
    <t>HPE Aruba Networking AP-MNT-D Campus AP mount bracket kit (individual) type D: solid surface</t>
  </si>
  <si>
    <t>HPE Aruba Networking PC-AC-IN 250V/6A 1.8m C13 to IS1293 (IN) AC Power Cord</t>
  </si>
  <si>
    <t>HPE Aruba Networking 1G SFP LC SX 500m OM2 MMF Transceiver</t>
  </si>
  <si>
    <t xml:space="preserve">HSN code </t>
  </si>
  <si>
    <t>8517 62 90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</si>
</sst>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0.00_);[Red]\(&quot;$&quot;#,##0.00\)"/>
    <numFmt numFmtId="41" formatCode="_(* #,##0_);_(* \(#,##0\);_(* &quot;-&quot;_);_(@_)"/>
    <numFmt numFmtId="43" formatCode="_(* #,##0.00_);_(* \(#,##0.00\);_(* &quot;-&quot;??_);_(@_)"/>
    <numFmt numFmtId="164" formatCode="&quot;₹&quot;\ #,##0.00;[Red]&quot;₹&quot;\ \-#,##0.00"/>
    <numFmt numFmtId="165" formatCode="_ * #,##0.00_ ;_ * \-#,##0.00_ ;_ * &quot;-&quot;??_ ;_ @_ "/>
    <numFmt numFmtId="166" formatCode="_-* #,##0_-;\-* #,##0_-;_-* &quot;-&quot;_-;_-@_-"/>
    <numFmt numFmtId="167" formatCode="&quot;S&quot;&quot;$&quot;#,##0.00_);\(&quot;$&quot;#,##0.00\)"/>
    <numFmt numFmtId="168" formatCode="[$-409]d\-mmm\-yy;@"/>
    <numFmt numFmtId="169" formatCode="0_ "/>
  </numFmts>
  <fonts count="24">
    <font>
      <sz val="10"/>
      <name val="Geneva"/>
      <family val="2"/>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Helv"/>
      <family val="2"/>
    </font>
    <font>
      <sz val="11"/>
      <color indexed="8"/>
      <name val="Calibri"/>
      <family val="2"/>
    </font>
    <font>
      <sz val="10"/>
      <name val="Geneva"/>
      <family val="2"/>
    </font>
    <font>
      <sz val="6"/>
      <name val="ＭＳ Ｐゴシック"/>
      <family val="3"/>
      <charset val="128"/>
    </font>
    <font>
      <u/>
      <sz val="10"/>
      <color theme="10"/>
      <name val="Geneva"/>
      <family val="2"/>
    </font>
    <font>
      <sz val="10"/>
      <name val="Arial"/>
      <family val="2"/>
    </font>
    <font>
      <sz val="10"/>
      <name val="Calibri"/>
      <family val="2"/>
      <scheme val="minor"/>
    </font>
    <font>
      <b/>
      <sz val="10"/>
      <name val="Calibri"/>
      <family val="2"/>
      <scheme val="minor"/>
    </font>
    <font>
      <u/>
      <sz val="10"/>
      <color theme="10"/>
      <name val="Calibri"/>
      <family val="2"/>
      <scheme val="minor"/>
    </font>
    <font>
      <b/>
      <u/>
      <sz val="10"/>
      <color theme="0"/>
      <name val="Calibri"/>
      <family val="2"/>
      <scheme val="minor"/>
    </font>
    <font>
      <sz val="10"/>
      <color indexed="8"/>
      <name val="Calibri"/>
      <family val="2"/>
      <scheme val="minor"/>
    </font>
    <font>
      <b/>
      <u/>
      <sz val="10"/>
      <name val="Calibri"/>
      <family val="2"/>
      <scheme val="minor"/>
    </font>
    <font>
      <b/>
      <sz val="10"/>
      <color rgb="FF002060"/>
      <name val="Calibri"/>
      <family val="2"/>
      <scheme val="minor"/>
    </font>
    <font>
      <b/>
      <i/>
      <sz val="10"/>
      <name val="Calibri"/>
      <family val="2"/>
      <scheme val="minor"/>
    </font>
    <font>
      <b/>
      <sz val="10"/>
      <color indexed="8"/>
      <name val="Calibri"/>
      <family val="2"/>
      <scheme val="minor"/>
    </font>
    <font>
      <b/>
      <sz val="9"/>
      <color rgb="FF000000"/>
      <name val="Arial"/>
      <family val="2"/>
    </font>
    <font>
      <sz val="9"/>
      <color rgb="FF000000"/>
      <name val="Arial"/>
      <family val="2"/>
    </font>
    <font>
      <b/>
      <sz val="10"/>
      <name val="Geneva"/>
    </font>
  </fonts>
  <fills count="6">
    <fill>
      <patternFill patternType="none"/>
    </fill>
    <fill>
      <patternFill patternType="gray125"/>
    </fill>
    <fill>
      <patternFill patternType="solid">
        <fgColor indexed="22"/>
        <bgColor indexed="64"/>
      </patternFill>
    </fill>
    <fill>
      <patternFill patternType="solid">
        <fgColor theme="8" tint="0.79998168889431442"/>
        <bgColor indexed="64"/>
      </patternFill>
    </fill>
    <fill>
      <patternFill patternType="solid">
        <fgColor theme="8" tint="-0.249977111117893"/>
        <bgColor indexed="64"/>
      </patternFill>
    </fill>
    <fill>
      <patternFill patternType="solid">
        <fgColor theme="8" tint="0.39997558519241921"/>
        <bgColor indexed="64"/>
      </patternFill>
    </fill>
  </fills>
  <borders count="45">
    <border>
      <left/>
      <right/>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thin">
        <color indexed="64"/>
      </top>
      <bottom/>
      <diagonal/>
    </border>
    <border>
      <left/>
      <right style="thin">
        <color indexed="64"/>
      </right>
      <top style="thin">
        <color indexed="64"/>
      </top>
      <bottom style="thin">
        <color indexed="64"/>
      </bottom>
      <diagonal/>
    </border>
    <border>
      <left/>
      <right style="hair">
        <color indexed="64"/>
      </right>
      <top style="hair">
        <color indexed="64"/>
      </top>
      <bottom/>
      <diagonal/>
    </border>
    <border>
      <left/>
      <right/>
      <top style="thin">
        <color indexed="64"/>
      </top>
      <bottom/>
      <diagonal/>
    </border>
    <border>
      <left/>
      <right style="thin">
        <color indexed="64"/>
      </right>
      <top/>
      <bottom/>
      <diagonal/>
    </border>
    <border>
      <left style="hair">
        <color indexed="64"/>
      </left>
      <right/>
      <top style="hair">
        <color indexed="64"/>
      </top>
      <bottom/>
      <diagonal/>
    </border>
    <border>
      <left style="hair">
        <color indexed="64"/>
      </left>
      <right/>
      <top/>
      <bottom/>
      <diagonal/>
    </border>
    <border>
      <left/>
      <right style="hair">
        <color indexed="64"/>
      </right>
      <top/>
      <bottom/>
      <diagonal/>
    </border>
    <border>
      <left/>
      <right style="hair">
        <color indexed="64"/>
      </right>
      <top/>
      <bottom style="hair">
        <color indexed="64"/>
      </bottom>
      <diagonal/>
    </border>
    <border>
      <left/>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top style="hair">
        <color indexed="64"/>
      </top>
      <bottom/>
      <diagonal/>
    </border>
    <border>
      <left/>
      <right style="medium">
        <color indexed="64"/>
      </right>
      <top style="hair">
        <color indexed="64"/>
      </top>
      <bottom style="hair">
        <color indexed="64"/>
      </bottom>
      <diagonal/>
    </border>
    <border>
      <left style="medium">
        <color indexed="64"/>
      </left>
      <right/>
      <top/>
      <bottom/>
      <diagonal/>
    </border>
    <border>
      <left style="medium">
        <color indexed="64"/>
      </left>
      <right/>
      <top/>
      <bottom style="hair">
        <color indexed="64"/>
      </bottom>
      <diagonal/>
    </border>
    <border>
      <left/>
      <right style="medium">
        <color indexed="64"/>
      </right>
      <top/>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thin">
        <color indexed="64"/>
      </top>
      <bottom/>
      <diagonal/>
    </border>
    <border>
      <left style="thin">
        <color indexed="64"/>
      </left>
      <right style="thin">
        <color indexed="64"/>
      </right>
      <top style="thin">
        <color indexed="64"/>
      </top>
      <bottom/>
      <diagonal/>
    </border>
  </borders>
  <cellStyleXfs count="16">
    <xf numFmtId="0" fontId="0" fillId="0" borderId="0"/>
    <xf numFmtId="0" fontId="5" fillId="0" borderId="0"/>
    <xf numFmtId="0" fontId="5" fillId="0" borderId="0"/>
    <xf numFmtId="166" fontId="8" fillId="0" borderId="0" applyFont="0" applyFill="0" applyBorder="0" applyAlignment="0" applyProtection="0"/>
    <xf numFmtId="41" fontId="4" fillId="0" borderId="0" applyFont="0" applyFill="0" applyBorder="0" applyAlignment="0" applyProtection="0"/>
    <xf numFmtId="0" fontId="5" fillId="0" borderId="0"/>
    <xf numFmtId="0" fontId="8" fillId="0" borderId="0"/>
    <xf numFmtId="9" fontId="7" fillId="0" borderId="0" applyFont="0" applyFill="0" applyBorder="0" applyAlignment="0" applyProtection="0"/>
    <xf numFmtId="9" fontId="4" fillId="0" borderId="0" applyFont="0" applyFill="0" applyBorder="0" applyAlignment="0" applyProtection="0"/>
    <xf numFmtId="0" fontId="6" fillId="0" borderId="0"/>
    <xf numFmtId="0" fontId="3" fillId="0" borderId="0"/>
    <xf numFmtId="0" fontId="2" fillId="0" borderId="0"/>
    <xf numFmtId="0" fontId="1" fillId="0" borderId="0"/>
    <xf numFmtId="0" fontId="10" fillId="0" borderId="0" applyNumberFormat="0" applyFill="0" applyBorder="0" applyAlignment="0" applyProtection="0"/>
    <xf numFmtId="0" fontId="11" fillId="0" borderId="0"/>
    <xf numFmtId="165" fontId="8" fillId="0" borderId="0" applyFont="0" applyFill="0" applyBorder="0" applyAlignment="0" applyProtection="0"/>
  </cellStyleXfs>
  <cellXfs count="174">
    <xf numFmtId="0" fontId="0" fillId="0" borderId="0" xfId="0"/>
    <xf numFmtId="0" fontId="5" fillId="0" borderId="0" xfId="1"/>
    <xf numFmtId="166" fontId="0" fillId="0" borderId="0" xfId="3" applyFont="1"/>
    <xf numFmtId="0" fontId="8" fillId="0" borderId="0" xfId="6"/>
    <xf numFmtId="9" fontId="0" fillId="0" borderId="0" xfId="7" applyFont="1"/>
    <xf numFmtId="9" fontId="0" fillId="0" borderId="0" xfId="8" applyFont="1"/>
    <xf numFmtId="0" fontId="6" fillId="0" borderId="0" xfId="9"/>
    <xf numFmtId="0" fontId="15" fillId="4" borderId="8" xfId="0" applyFont="1" applyFill="1" applyBorder="1" applyAlignment="1">
      <alignment horizontal="center" vertical="center" wrapText="1"/>
    </xf>
    <xf numFmtId="0" fontId="12" fillId="0" borderId="5" xfId="0" applyFont="1" applyBorder="1" applyAlignment="1">
      <alignment horizontal="left" vertical="center" wrapText="1"/>
    </xf>
    <xf numFmtId="169" fontId="12" fillId="0" borderId="9" xfId="0" applyNumberFormat="1" applyFont="1" applyBorder="1" applyAlignment="1">
      <alignment horizontal="center" vertical="center"/>
    </xf>
    <xf numFmtId="169" fontId="12" fillId="0" borderId="5" xfId="0" applyNumberFormat="1" applyFont="1" applyBorder="1" applyAlignment="1">
      <alignment horizontal="center" vertical="center"/>
    </xf>
    <xf numFmtId="43" fontId="13" fillId="2" borderId="0" xfId="0" applyNumberFormat="1" applyFont="1" applyFill="1" applyAlignment="1">
      <alignment horizontal="center" vertical="center"/>
    </xf>
    <xf numFmtId="169" fontId="18" fillId="3" borderId="17" xfId="0" applyNumberFormat="1" applyFont="1" applyFill="1" applyBorder="1" applyAlignment="1">
      <alignment vertical="top"/>
    </xf>
    <xf numFmtId="0" fontId="12" fillId="0" borderId="0" xfId="0" applyFont="1" applyAlignment="1">
      <alignment horizontal="center" vertical="center"/>
    </xf>
    <xf numFmtId="0" fontId="12" fillId="0" borderId="0" xfId="0" applyFont="1" applyAlignment="1">
      <alignment vertical="center" wrapText="1"/>
    </xf>
    <xf numFmtId="8" fontId="12" fillId="0" borderId="0" xfId="0" applyNumberFormat="1" applyFont="1" applyAlignment="1">
      <alignment vertical="center"/>
    </xf>
    <xf numFmtId="8" fontId="12" fillId="0" borderId="0" xfId="0" applyNumberFormat="1" applyFont="1" applyAlignment="1">
      <alignment horizontal="center" vertical="center"/>
    </xf>
    <xf numFmtId="169" fontId="18" fillId="5" borderId="17" xfId="0" applyNumberFormat="1" applyFont="1" applyFill="1" applyBorder="1" applyAlignment="1">
      <alignment vertical="top"/>
    </xf>
    <xf numFmtId="169" fontId="12" fillId="5" borderId="9" xfId="0" applyNumberFormat="1" applyFont="1" applyFill="1" applyBorder="1" applyAlignment="1">
      <alignment horizontal="center" vertical="center"/>
    </xf>
    <xf numFmtId="169" fontId="12" fillId="5" borderId="5" xfId="0" applyNumberFormat="1" applyFont="1" applyFill="1" applyBorder="1" applyAlignment="1">
      <alignment horizontal="center" vertical="center"/>
    </xf>
    <xf numFmtId="0" fontId="15" fillId="4" borderId="30" xfId="0" applyFont="1" applyFill="1" applyBorder="1" applyAlignment="1">
      <alignment horizontal="center" vertical="center"/>
    </xf>
    <xf numFmtId="0" fontId="12" fillId="0" borderId="32" xfId="0" applyFont="1" applyBorder="1" applyAlignment="1">
      <alignment horizontal="center" vertical="center"/>
    </xf>
    <xf numFmtId="0" fontId="12" fillId="0" borderId="5" xfId="0" applyFont="1" applyBorder="1" applyAlignment="1">
      <alignment horizontal="center" vertical="center"/>
    </xf>
    <xf numFmtId="43" fontId="13" fillId="0" borderId="0" xfId="0" applyNumberFormat="1" applyFont="1" applyAlignment="1">
      <alignment horizontal="center" vertical="center"/>
    </xf>
    <xf numFmtId="0" fontId="12" fillId="0" borderId="0" xfId="0" applyFont="1" applyAlignment="1">
      <alignment vertical="center"/>
    </xf>
    <xf numFmtId="0" fontId="17" fillId="0" borderId="0" xfId="0" applyFont="1" applyAlignment="1">
      <alignment vertical="center"/>
    </xf>
    <xf numFmtId="0" fontId="12" fillId="0" borderId="0" xfId="0" applyFont="1" applyAlignment="1">
      <alignment vertical="top"/>
    </xf>
    <xf numFmtId="0" fontId="12" fillId="0" borderId="0" xfId="0" applyFont="1" applyAlignment="1">
      <alignment vertical="justify"/>
    </xf>
    <xf numFmtId="164" fontId="12" fillId="0" borderId="0" xfId="0" applyNumberFormat="1" applyFont="1" applyAlignment="1">
      <alignment vertical="top"/>
    </xf>
    <xf numFmtId="2" fontId="16" fillId="0" borderId="5" xfId="6" applyNumberFormat="1" applyFont="1" applyBorder="1" applyAlignment="1">
      <alignment vertical="top"/>
    </xf>
    <xf numFmtId="0" fontId="15" fillId="4" borderId="43" xfId="0" applyFont="1" applyFill="1" applyBorder="1" applyAlignment="1">
      <alignment horizontal="center" vertical="center" wrapText="1"/>
    </xf>
    <xf numFmtId="0" fontId="15" fillId="4" borderId="44" xfId="0" applyFont="1" applyFill="1" applyBorder="1" applyAlignment="1">
      <alignment vertical="center" wrapText="1"/>
    </xf>
    <xf numFmtId="0" fontId="22" fillId="0" borderId="5" xfId="0" applyFont="1" applyBorder="1" applyAlignment="1">
      <alignment horizontal="center" vertical="center" wrapText="1"/>
    </xf>
    <xf numFmtId="165" fontId="16" fillId="0" borderId="5" xfId="15" applyFont="1" applyBorder="1" applyAlignment="1">
      <alignment vertical="top"/>
    </xf>
    <xf numFmtId="0" fontId="22" fillId="0" borderId="5" xfId="0" applyFont="1" applyBorder="1" applyAlignment="1">
      <alignment horizontal="left" vertical="center" wrapText="1"/>
    </xf>
    <xf numFmtId="9" fontId="17" fillId="0" borderId="0" xfId="0" applyNumberFormat="1" applyFont="1" applyAlignment="1">
      <alignment vertical="center"/>
    </xf>
    <xf numFmtId="165" fontId="0" fillId="0" borderId="0" xfId="0" applyNumberFormat="1"/>
    <xf numFmtId="165" fontId="23" fillId="0" borderId="0" xfId="0" applyNumberFormat="1" applyFont="1"/>
    <xf numFmtId="165" fontId="12" fillId="0" borderId="0" xfId="0" applyNumberFormat="1" applyFont="1" applyAlignment="1">
      <alignment vertical="top"/>
    </xf>
    <xf numFmtId="9" fontId="12" fillId="0" borderId="0" xfId="0" applyNumberFormat="1" applyFont="1" applyAlignment="1">
      <alignment vertical="center"/>
    </xf>
    <xf numFmtId="0" fontId="0" fillId="0" borderId="5" xfId="0" applyBorder="1" applyAlignment="1">
      <alignment horizontal="center" vertical="center"/>
    </xf>
    <xf numFmtId="0" fontId="12" fillId="0" borderId="38" xfId="0" applyFont="1" applyBorder="1" applyAlignment="1">
      <alignment horizontal="left" vertical="center" wrapText="1"/>
    </xf>
    <xf numFmtId="0" fontId="12" fillId="0" borderId="4" xfId="0" applyFont="1" applyBorder="1" applyAlignment="1">
      <alignment horizontal="left" vertical="center" wrapText="1"/>
    </xf>
    <xf numFmtId="0" fontId="12" fillId="0" borderId="2" xfId="0" applyFont="1" applyBorder="1" applyAlignment="1">
      <alignment horizontal="left" vertical="justify"/>
    </xf>
    <xf numFmtId="0" fontId="12" fillId="0" borderId="27" xfId="0" applyFont="1" applyBorder="1" applyAlignment="1">
      <alignment horizontal="left" vertical="justify"/>
    </xf>
    <xf numFmtId="0" fontId="12" fillId="0" borderId="26" xfId="0" applyFont="1" applyBorder="1" applyAlignment="1">
      <alignment horizontal="left" vertical="center" wrapText="1"/>
    </xf>
    <xf numFmtId="0" fontId="12" fillId="0" borderId="2" xfId="0" applyFont="1" applyBorder="1" applyAlignment="1">
      <alignment horizontal="left" vertical="center" wrapText="1"/>
    </xf>
    <xf numFmtId="0" fontId="12" fillId="0" borderId="2" xfId="0" applyFont="1" applyBorder="1" applyAlignment="1">
      <alignment horizontal="left" vertical="justify" wrapText="1"/>
    </xf>
    <xf numFmtId="0" fontId="12" fillId="0" borderId="27" xfId="0" applyFont="1" applyBorder="1" applyAlignment="1">
      <alignment horizontal="left" vertical="justify" wrapText="1"/>
    </xf>
    <xf numFmtId="0" fontId="12" fillId="0" borderId="39" xfId="0" applyFont="1" applyBorder="1" applyAlignment="1">
      <alignment horizontal="left" vertical="center" wrapText="1"/>
    </xf>
    <xf numFmtId="0" fontId="12" fillId="0" borderId="40" xfId="0" applyFont="1" applyBorder="1" applyAlignment="1">
      <alignment horizontal="left" vertical="center" wrapText="1"/>
    </xf>
    <xf numFmtId="0" fontId="10" fillId="0" borderId="41" xfId="13" applyBorder="1"/>
    <xf numFmtId="0" fontId="12" fillId="0" borderId="41" xfId="0" applyFont="1" applyBorder="1"/>
    <xf numFmtId="0" fontId="12" fillId="0" borderId="42" xfId="0" applyFont="1" applyBorder="1"/>
    <xf numFmtId="0" fontId="12" fillId="0" borderId="26" xfId="0" applyFont="1" applyBorder="1" applyAlignment="1">
      <alignment vertical="justify"/>
    </xf>
    <xf numFmtId="0" fontId="12" fillId="0" borderId="2" xfId="0" applyFont="1" applyBorder="1" applyAlignment="1">
      <alignment vertical="justify"/>
    </xf>
    <xf numFmtId="0" fontId="12" fillId="0" borderId="38" xfId="0" applyFont="1" applyBorder="1" applyAlignment="1">
      <alignment horizontal="left" vertical="center"/>
    </xf>
    <xf numFmtId="0" fontId="12" fillId="0" borderId="4" xfId="0" applyFont="1" applyBorder="1" applyAlignment="1">
      <alignment horizontal="left" vertical="center"/>
    </xf>
    <xf numFmtId="0" fontId="12" fillId="0" borderId="38" xfId="0" applyFont="1" applyBorder="1" applyAlignment="1">
      <alignment horizontal="left" vertical="justify"/>
    </xf>
    <xf numFmtId="0" fontId="12" fillId="0" borderId="4" xfId="0" applyFont="1" applyBorder="1" applyAlignment="1">
      <alignment horizontal="left" vertical="justify"/>
    </xf>
    <xf numFmtId="0" fontId="12" fillId="0" borderId="21" xfId="0" applyFont="1" applyBorder="1" applyAlignment="1">
      <alignment horizontal="left" vertical="center" wrapText="1"/>
    </xf>
    <xf numFmtId="0" fontId="12" fillId="0" borderId="10" xfId="0" applyFont="1" applyBorder="1" applyAlignment="1">
      <alignment horizontal="left" vertical="center" wrapText="1"/>
    </xf>
    <xf numFmtId="0" fontId="12" fillId="0" borderId="23" xfId="0" applyFont="1" applyBorder="1" applyAlignment="1">
      <alignment horizontal="left" vertical="center" wrapText="1"/>
    </xf>
    <xf numFmtId="0" fontId="12" fillId="0" borderId="15" xfId="0" applyFont="1" applyBorder="1" applyAlignment="1">
      <alignment horizontal="left" vertical="center" wrapText="1"/>
    </xf>
    <xf numFmtId="0" fontId="12" fillId="0" borderId="2" xfId="0" applyFont="1" applyBorder="1" applyAlignment="1">
      <alignment horizontal="justify" vertical="center" wrapText="1"/>
    </xf>
    <xf numFmtId="0" fontId="12" fillId="0" borderId="27" xfId="0" applyFont="1" applyBorder="1" applyAlignment="1">
      <alignment horizontal="justify" vertical="center" wrapText="1"/>
    </xf>
    <xf numFmtId="0" fontId="12" fillId="0" borderId="6" xfId="0" applyFont="1" applyBorder="1" applyAlignment="1">
      <alignment horizontal="justify" vertical="center" wrapText="1"/>
    </xf>
    <xf numFmtId="0" fontId="12" fillId="0" borderId="7" xfId="0" applyFont="1" applyBorder="1" applyAlignment="1">
      <alignment horizontal="justify" vertical="center" wrapText="1"/>
    </xf>
    <xf numFmtId="0" fontId="12" fillId="0" borderId="22" xfId="0" applyFont="1" applyBorder="1" applyAlignment="1">
      <alignment horizontal="justify" vertical="center" wrapText="1"/>
    </xf>
    <xf numFmtId="0" fontId="13" fillId="0" borderId="2" xfId="0" applyFont="1" applyBorder="1" applyAlignment="1">
      <alignment horizontal="justify" vertical="justify" wrapText="1"/>
    </xf>
    <xf numFmtId="0" fontId="12" fillId="0" borderId="2" xfId="0" applyFont="1" applyBorder="1" applyAlignment="1">
      <alignment horizontal="justify" vertical="justify" wrapText="1"/>
    </xf>
    <xf numFmtId="0" fontId="12" fillId="0" borderId="27" xfId="0" applyFont="1" applyBorder="1" applyAlignment="1">
      <alignment horizontal="justify" vertical="justify" wrapText="1"/>
    </xf>
    <xf numFmtId="0" fontId="12" fillId="0" borderId="28" xfId="0" applyFont="1" applyBorder="1" applyAlignment="1">
      <alignment horizontal="left" vertical="center" wrapText="1"/>
    </xf>
    <xf numFmtId="0" fontId="12" fillId="0" borderId="3" xfId="0" applyFont="1" applyBorder="1" applyAlignment="1">
      <alignment horizontal="left" vertical="center" wrapText="1"/>
    </xf>
    <xf numFmtId="0" fontId="12" fillId="0" borderId="3" xfId="0" applyFont="1" applyBorder="1" applyAlignment="1">
      <alignment horizontal="justify" vertical="justify" wrapText="1"/>
    </xf>
    <xf numFmtId="0" fontId="12" fillId="0" borderId="29" xfId="0" applyFont="1" applyBorder="1" applyAlignment="1">
      <alignment horizontal="justify" vertical="justify" wrapText="1"/>
    </xf>
    <xf numFmtId="0" fontId="13" fillId="0" borderId="35"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31" xfId="0" applyFont="1" applyBorder="1" applyAlignment="1">
      <alignment horizontal="center" vertical="center" wrapText="1"/>
    </xf>
    <xf numFmtId="0" fontId="12" fillId="0" borderId="36"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Border="1" applyAlignment="1">
      <alignment horizontal="left" vertical="justify" wrapText="1"/>
    </xf>
    <xf numFmtId="0" fontId="12" fillId="0" borderId="37" xfId="0" applyFont="1" applyBorder="1" applyAlignment="1">
      <alignment horizontal="left" vertical="justify" wrapText="1"/>
    </xf>
    <xf numFmtId="0" fontId="12" fillId="0" borderId="26" xfId="0" applyFont="1" applyBorder="1" applyAlignment="1">
      <alignment horizontal="left" vertical="center"/>
    </xf>
    <xf numFmtId="0" fontId="12" fillId="0" borderId="2" xfId="0" applyFont="1" applyBorder="1" applyAlignment="1">
      <alignment horizontal="left" vertical="center"/>
    </xf>
    <xf numFmtId="0" fontId="12" fillId="0" borderId="2" xfId="0" applyFont="1" applyBorder="1" applyAlignment="1">
      <alignment horizontal="justify" vertical="center"/>
    </xf>
    <xf numFmtId="0" fontId="12" fillId="0" borderId="27" xfId="0" applyFont="1" applyBorder="1" applyAlignment="1">
      <alignment horizontal="justify" vertical="center"/>
    </xf>
    <xf numFmtId="9" fontId="12" fillId="0" borderId="2" xfId="0" applyNumberFormat="1" applyFont="1" applyBorder="1" applyAlignment="1">
      <alignment horizontal="justify" vertical="center"/>
    </xf>
    <xf numFmtId="0" fontId="12" fillId="0" borderId="6" xfId="0" quotePrefix="1" applyFont="1" applyBorder="1" applyAlignment="1">
      <alignment horizontal="left" vertical="center"/>
    </xf>
    <xf numFmtId="0" fontId="12" fillId="0" borderId="7" xfId="0" quotePrefix="1" applyFont="1" applyBorder="1" applyAlignment="1">
      <alignment horizontal="left" vertical="center"/>
    </xf>
    <xf numFmtId="0" fontId="12" fillId="0" borderId="22" xfId="0" quotePrefix="1" applyFont="1" applyBorder="1" applyAlignment="1">
      <alignment horizontal="left" vertical="center"/>
    </xf>
    <xf numFmtId="0" fontId="13" fillId="0" borderId="6" xfId="0" applyFont="1" applyBorder="1" applyAlignment="1">
      <alignment horizontal="left" vertical="center"/>
    </xf>
    <xf numFmtId="0" fontId="14" fillId="0" borderId="0" xfId="13" applyFont="1" applyFill="1" applyBorder="1"/>
    <xf numFmtId="0" fontId="12" fillId="0" borderId="0" xfId="0" applyFont="1"/>
    <xf numFmtId="0" fontId="12" fillId="0" borderId="12" xfId="0" applyFont="1" applyBorder="1"/>
    <xf numFmtId="0" fontId="12" fillId="0" borderId="25" xfId="0" applyFont="1" applyBorder="1"/>
    <xf numFmtId="0" fontId="17" fillId="0" borderId="26" xfId="0" applyFont="1" applyBorder="1" applyAlignment="1">
      <alignment horizontal="center" vertical="center"/>
    </xf>
    <xf numFmtId="0" fontId="17" fillId="0" borderId="2" xfId="0" applyFont="1" applyBorder="1" applyAlignment="1">
      <alignment horizontal="center" vertical="center"/>
    </xf>
    <xf numFmtId="0" fontId="17" fillId="0" borderId="27" xfId="0" applyFont="1" applyBorder="1" applyAlignment="1">
      <alignment horizontal="center" vertical="center"/>
    </xf>
    <xf numFmtId="0" fontId="12" fillId="0" borderId="29" xfId="0" applyFont="1" applyBorder="1" applyAlignment="1">
      <alignment horizontal="left" vertical="center" wrapText="1"/>
    </xf>
    <xf numFmtId="165" fontId="20" fillId="0" borderId="5" xfId="15" applyFont="1" applyBorder="1" applyAlignment="1">
      <alignment horizontal="center" vertical="center"/>
    </xf>
    <xf numFmtId="165" fontId="16" fillId="0" borderId="5" xfId="15" applyFont="1" applyBorder="1" applyAlignment="1">
      <alignment horizontal="center" vertical="center"/>
    </xf>
    <xf numFmtId="0" fontId="17" fillId="0" borderId="33" xfId="0" applyFont="1" applyBorder="1" applyAlignment="1">
      <alignment horizontal="center" vertical="center"/>
    </xf>
    <xf numFmtId="0" fontId="17" fillId="0" borderId="11" xfId="0" applyFont="1" applyBorder="1" applyAlignment="1">
      <alignment horizontal="center" vertical="center"/>
    </xf>
    <xf numFmtId="0" fontId="17" fillId="0" borderId="34" xfId="0" applyFont="1" applyBorder="1" applyAlignment="1">
      <alignment horizontal="center" vertical="center"/>
    </xf>
    <xf numFmtId="0" fontId="13" fillId="0" borderId="23" xfId="0" applyFont="1" applyBorder="1" applyAlignment="1">
      <alignment horizontal="center" vertical="center"/>
    </xf>
    <xf numFmtId="0" fontId="13" fillId="0" borderId="0" xfId="0" applyFont="1" applyAlignment="1">
      <alignment horizontal="center" vertical="center"/>
    </xf>
    <xf numFmtId="0" fontId="13" fillId="0" borderId="25" xfId="0" applyFont="1" applyBorder="1" applyAlignment="1">
      <alignment horizontal="center"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10" xfId="0" applyFont="1" applyBorder="1" applyAlignment="1">
      <alignment horizontal="center" vertical="center"/>
    </xf>
    <xf numFmtId="0" fontId="13" fillId="0" borderId="15" xfId="0" applyFont="1" applyBorder="1" applyAlignment="1">
      <alignment horizontal="center" vertical="center"/>
    </xf>
    <xf numFmtId="0" fontId="13" fillId="0" borderId="24" xfId="0" applyFont="1" applyBorder="1" applyAlignment="1">
      <alignment horizontal="center" vertical="center"/>
    </xf>
    <xf numFmtId="0" fontId="13" fillId="0" borderId="16" xfId="0" applyFont="1" applyBorder="1" applyAlignment="1">
      <alignment horizontal="center" vertical="center"/>
    </xf>
    <xf numFmtId="0" fontId="19" fillId="0" borderId="13" xfId="0" applyFont="1" applyBorder="1" applyAlignment="1">
      <alignment horizontal="left" vertical="top" wrapText="1"/>
    </xf>
    <xf numFmtId="0" fontId="13" fillId="0" borderId="10" xfId="0" applyFont="1" applyBorder="1" applyAlignment="1">
      <alignment horizontal="left" vertical="top" wrapText="1"/>
    </xf>
    <xf numFmtId="0" fontId="13" fillId="0" borderId="14" xfId="0" applyFont="1" applyBorder="1" applyAlignment="1">
      <alignment horizontal="left" vertical="top" wrapText="1"/>
    </xf>
    <xf numFmtId="0" fontId="13" fillId="0" borderId="15" xfId="0" applyFont="1" applyBorder="1" applyAlignment="1">
      <alignment horizontal="left" vertical="top" wrapText="1"/>
    </xf>
    <xf numFmtId="167" fontId="12" fillId="0" borderId="2" xfId="0" applyNumberFormat="1" applyFont="1" applyBorder="1" applyAlignment="1">
      <alignment horizontal="left" vertical="center"/>
    </xf>
    <xf numFmtId="38" fontId="12" fillId="0" borderId="6" xfId="0" applyNumberFormat="1" applyFont="1" applyBorder="1" applyAlignment="1">
      <alignment horizontal="left" vertical="center"/>
    </xf>
    <xf numFmtId="38" fontId="12" fillId="0" borderId="7" xfId="0" applyNumberFormat="1" applyFont="1" applyBorder="1" applyAlignment="1">
      <alignment horizontal="left" vertical="center"/>
    </xf>
    <xf numFmtId="38" fontId="12" fillId="0" borderId="22" xfId="0" applyNumberFormat="1" applyFont="1" applyBorder="1" applyAlignment="1">
      <alignment horizontal="left" vertical="center"/>
    </xf>
    <xf numFmtId="168" fontId="12" fillId="0" borderId="6" xfId="0" applyNumberFormat="1" applyFont="1" applyBorder="1" applyAlignment="1">
      <alignment horizontal="left" vertical="center"/>
    </xf>
    <xf numFmtId="168" fontId="12" fillId="0" borderId="7" xfId="0" applyNumberFormat="1" applyFont="1" applyBorder="1" applyAlignment="1">
      <alignment horizontal="left" vertical="center"/>
    </xf>
    <xf numFmtId="168" fontId="12" fillId="0" borderId="22" xfId="0" applyNumberFormat="1" applyFont="1" applyBorder="1" applyAlignment="1">
      <alignment horizontal="left" vertical="center"/>
    </xf>
    <xf numFmtId="38" fontId="12" fillId="0" borderId="6" xfId="0" applyNumberFormat="1" applyFont="1" applyBorder="1" applyAlignment="1">
      <alignment horizontal="left" vertical="center" wrapText="1"/>
    </xf>
    <xf numFmtId="38" fontId="12" fillId="0" borderId="7" xfId="0" applyNumberFormat="1" applyFont="1" applyBorder="1" applyAlignment="1">
      <alignment horizontal="left" vertical="center" wrapText="1"/>
    </xf>
    <xf numFmtId="38" fontId="12" fillId="0" borderId="22" xfId="0" applyNumberFormat="1" applyFont="1" applyBorder="1" applyAlignment="1">
      <alignment horizontal="left" vertical="center" wrapText="1"/>
    </xf>
    <xf numFmtId="38" fontId="12" fillId="0" borderId="2" xfId="0" applyNumberFormat="1" applyFont="1" applyBorder="1" applyAlignment="1">
      <alignment horizontal="left" vertical="center"/>
    </xf>
    <xf numFmtId="0" fontId="19" fillId="0" borderId="13" xfId="0" applyFont="1" applyBorder="1" applyAlignment="1">
      <alignment horizontal="left" vertical="top"/>
    </xf>
    <xf numFmtId="0" fontId="13" fillId="0" borderId="10" xfId="0" applyFont="1" applyBorder="1" applyAlignment="1">
      <alignment horizontal="left" vertical="top"/>
    </xf>
    <xf numFmtId="0" fontId="13" fillId="0" borderId="14" xfId="0" applyFont="1" applyBorder="1" applyAlignment="1">
      <alignment horizontal="left" vertical="top"/>
    </xf>
    <xf numFmtId="0" fontId="13" fillId="0" borderId="15" xfId="0" applyFont="1" applyBorder="1" applyAlignment="1">
      <alignment horizontal="left" vertical="top"/>
    </xf>
    <xf numFmtId="0" fontId="14" fillId="0" borderId="0" xfId="13" applyFont="1" applyFill="1" applyBorder="1" applyAlignment="1"/>
    <xf numFmtId="0" fontId="12" fillId="0" borderId="0" xfId="0" applyFont="1" applyAlignment="1"/>
    <xf numFmtId="0" fontId="12" fillId="0" borderId="12" xfId="0" applyFont="1" applyBorder="1" applyAlignment="1"/>
    <xf numFmtId="0" fontId="12" fillId="0" borderId="25" xfId="0" applyFont="1" applyBorder="1" applyAlignment="1"/>
    <xf numFmtId="0" fontId="12" fillId="0" borderId="28" xfId="0" applyFont="1" applyBorder="1" applyAlignment="1">
      <alignment horizontal="left" vertical="center"/>
    </xf>
    <xf numFmtId="0" fontId="12" fillId="0" borderId="3" xfId="0" applyFont="1" applyBorder="1" applyAlignment="1">
      <alignment horizontal="left" vertical="center"/>
    </xf>
    <xf numFmtId="0" fontId="12" fillId="0" borderId="29" xfId="0" applyFont="1" applyBorder="1" applyAlignment="1">
      <alignment horizontal="left" vertical="center"/>
    </xf>
    <xf numFmtId="0" fontId="15" fillId="4" borderId="8" xfId="0" applyFont="1" applyFill="1" applyBorder="1" applyAlignment="1">
      <alignment horizontal="center" vertical="center"/>
    </xf>
    <xf numFmtId="0" fontId="15" fillId="4" borderId="44" xfId="0" applyFont="1" applyFill="1" applyBorder="1" applyAlignment="1">
      <alignment vertical="center"/>
    </xf>
    <xf numFmtId="0" fontId="15" fillId="4" borderId="43" xfId="0" applyFont="1" applyFill="1" applyBorder="1" applyAlignment="1">
      <alignment horizontal="center" vertical="center"/>
    </xf>
    <xf numFmtId="0" fontId="22" fillId="0" borderId="5" xfId="0" applyFont="1" applyBorder="1" applyAlignment="1">
      <alignment horizontal="left" vertical="center"/>
    </xf>
    <xf numFmtId="0" fontId="22" fillId="0" borderId="5" xfId="0" applyFont="1" applyBorder="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justify" vertical="center"/>
    </xf>
    <xf numFmtId="0" fontId="12" fillId="0" borderId="7" xfId="0" applyFont="1" applyBorder="1" applyAlignment="1">
      <alignment horizontal="justify" vertical="center"/>
    </xf>
    <xf numFmtId="0" fontId="12" fillId="0" borderId="22" xfId="0" applyFont="1" applyBorder="1" applyAlignment="1">
      <alignment horizontal="justify" vertical="center"/>
    </xf>
    <xf numFmtId="0" fontId="12" fillId="0" borderId="21" xfId="0" applyFont="1" applyBorder="1" applyAlignment="1">
      <alignment horizontal="left" vertical="center"/>
    </xf>
    <xf numFmtId="0" fontId="12" fillId="0" borderId="10" xfId="0" applyFont="1" applyBorder="1" applyAlignment="1">
      <alignment horizontal="left" vertical="center"/>
    </xf>
    <xf numFmtId="0" fontId="12" fillId="0" borderId="23" xfId="0" applyFont="1" applyBorder="1" applyAlignment="1">
      <alignment horizontal="left" vertical="center"/>
    </xf>
    <xf numFmtId="0" fontId="12" fillId="0" borderId="15" xfId="0" applyFont="1" applyBorder="1" applyAlignment="1">
      <alignment horizontal="left" vertical="center"/>
    </xf>
    <xf numFmtId="0" fontId="13" fillId="0" borderId="2" xfId="0" applyFont="1" applyBorder="1" applyAlignment="1">
      <alignment horizontal="justify" vertical="justify"/>
    </xf>
    <xf numFmtId="0" fontId="12" fillId="0" borderId="2" xfId="0" applyFont="1" applyBorder="1" applyAlignment="1">
      <alignment horizontal="justify" vertical="justify"/>
    </xf>
    <xf numFmtId="0" fontId="12" fillId="0" borderId="27" xfId="0" applyFont="1" applyBorder="1" applyAlignment="1">
      <alignment horizontal="justify" vertical="justify"/>
    </xf>
    <xf numFmtId="0" fontId="12" fillId="0" borderId="3" xfId="0" applyFont="1" applyBorder="1" applyAlignment="1">
      <alignment horizontal="justify" vertical="justify"/>
    </xf>
    <xf numFmtId="0" fontId="12" fillId="0" borderId="29" xfId="0" applyFont="1" applyBorder="1" applyAlignment="1">
      <alignment horizontal="justify" vertical="justify"/>
    </xf>
    <xf numFmtId="0" fontId="13" fillId="0" borderId="35" xfId="0" applyFont="1" applyBorder="1" applyAlignment="1">
      <alignment horizontal="center" vertical="center"/>
    </xf>
    <xf numFmtId="0" fontId="13" fillId="0" borderId="17" xfId="0" applyFont="1" applyBorder="1" applyAlignment="1">
      <alignment horizontal="center" vertical="center"/>
    </xf>
    <xf numFmtId="0" fontId="13" fillId="0" borderId="31" xfId="0" applyFont="1" applyBorder="1" applyAlignment="1">
      <alignment horizontal="center" vertical="center"/>
    </xf>
    <xf numFmtId="0" fontId="12" fillId="0" borderId="36" xfId="0" applyFont="1" applyBorder="1" applyAlignment="1">
      <alignment horizontal="left" vertical="center"/>
    </xf>
    <xf numFmtId="0" fontId="12" fillId="0" borderId="1" xfId="0" applyFont="1" applyBorder="1" applyAlignment="1">
      <alignment horizontal="left" vertical="center"/>
    </xf>
    <xf numFmtId="0" fontId="12" fillId="0" borderId="1" xfId="0" applyFont="1" applyBorder="1" applyAlignment="1">
      <alignment horizontal="left" vertical="justify"/>
    </xf>
    <xf numFmtId="0" fontId="12" fillId="0" borderId="37" xfId="0" applyFont="1" applyBorder="1" applyAlignment="1">
      <alignment horizontal="left" vertical="justify"/>
    </xf>
    <xf numFmtId="0" fontId="12" fillId="0" borderId="39" xfId="0" applyFont="1" applyBorder="1" applyAlignment="1">
      <alignment horizontal="left" vertical="center"/>
    </xf>
    <xf numFmtId="0" fontId="12" fillId="0" borderId="40" xfId="0" applyFont="1" applyBorder="1" applyAlignment="1">
      <alignment horizontal="left" vertical="center"/>
    </xf>
    <xf numFmtId="0" fontId="10" fillId="0" borderId="41" xfId="13" applyBorder="1" applyAlignment="1"/>
    <xf numFmtId="0" fontId="12" fillId="0" borderId="41" xfId="0" applyFont="1" applyBorder="1" applyAlignment="1"/>
    <xf numFmtId="0" fontId="12" fillId="0" borderId="42" xfId="0" applyFont="1" applyBorder="1" applyAlignment="1"/>
    <xf numFmtId="0" fontId="15" fillId="4" borderId="5" xfId="0" applyFont="1" applyFill="1" applyBorder="1" applyAlignment="1">
      <alignment horizontal="center" vertical="center"/>
    </xf>
    <xf numFmtId="0" fontId="21" fillId="0" borderId="5" xfId="0" applyFont="1" applyBorder="1" applyAlignment="1">
      <alignment horizontal="left" vertical="center"/>
    </xf>
  </cellXfs>
  <cellStyles count="16">
    <cellStyle name="0,0_x000a__x000a_NA_x000a__x000a_" xfId="1" xr:uid="{00000000-0005-0000-0000-000000000000}"/>
    <cellStyle name="0,0_x000d__x000a_NA_x000d__x000a_" xfId="2" xr:uid="{00000000-0005-0000-0000-000001000000}"/>
    <cellStyle name="Comma" xfId="15" builtinId="3"/>
    <cellStyle name="Comma [0]" xfId="3" builtinId="6"/>
    <cellStyle name="Comma [0] 2" xfId="4" xr:uid="{00000000-0005-0000-0000-000003000000}"/>
    <cellStyle name="Hyperlink" xfId="13" builtinId="8"/>
    <cellStyle name="Normal" xfId="0" builtinId="0"/>
    <cellStyle name="Normal 2" xfId="5" xr:uid="{00000000-0005-0000-0000-000006000000}"/>
    <cellStyle name="Normal 3" xfId="10" xr:uid="{00000000-0005-0000-0000-000007000000}"/>
    <cellStyle name="Normal 3 2" xfId="11" xr:uid="{00000000-0005-0000-0000-000008000000}"/>
    <cellStyle name="Normal 3 3" xfId="12" xr:uid="{00000000-0005-0000-0000-000009000000}"/>
    <cellStyle name="Normal 4" xfId="14" xr:uid="{00000000-0005-0000-0000-00000A000000}"/>
    <cellStyle name="Normal 5" xfId="6" xr:uid="{00000000-0005-0000-0000-00000B000000}"/>
    <cellStyle name="Percent" xfId="7" builtinId="5"/>
    <cellStyle name="Percent 3" xfId="8" xr:uid="{00000000-0005-0000-0000-00000D000000}"/>
    <cellStyle name="スタイル 1" xfId="9"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65</xdr:row>
      <xdr:rowOff>0</xdr:rowOff>
    </xdr:from>
    <xdr:to>
      <xdr:col>11</xdr:col>
      <xdr:colOff>356008</xdr:colOff>
      <xdr:row>65</xdr:row>
      <xdr:rowOff>28575</xdr:rowOff>
    </xdr:to>
    <xdr:sp macro="" textlink="">
      <xdr:nvSpPr>
        <xdr:cNvPr id="2" name="Text Box 8">
          <a:extLst>
            <a:ext uri="{FF2B5EF4-FFF2-40B4-BE49-F238E27FC236}">
              <a16:creationId xmlns:a16="http://schemas.microsoft.com/office/drawing/2014/main" id="{B8649041-8A8F-4A9E-8A84-A7260C0C9080}"/>
            </a:ext>
          </a:extLst>
        </xdr:cNvPr>
        <xdr:cNvSpPr txBox="1">
          <a:spLocks noChangeArrowheads="1"/>
        </xdr:cNvSpPr>
      </xdr:nvSpPr>
      <xdr:spPr bwMode="auto">
        <a:xfrm>
          <a:off x="5645150" y="14351000"/>
          <a:ext cx="356008" cy="28575"/>
        </a:xfrm>
        <a:prstGeom prst="rect">
          <a:avLst/>
        </a:prstGeom>
        <a:noFill/>
        <a:ln w="9525">
          <a:noFill/>
          <a:miter lim="800000"/>
          <a:headEnd/>
          <a:tailEnd/>
        </a:ln>
      </xdr:spPr>
    </xdr:sp>
    <xdr:clientData/>
  </xdr:twoCellAnchor>
  <xdr:twoCellAnchor editAs="oneCell">
    <xdr:from>
      <xdr:col>8</xdr:col>
      <xdr:colOff>66675</xdr:colOff>
      <xdr:row>65</xdr:row>
      <xdr:rowOff>0</xdr:rowOff>
    </xdr:from>
    <xdr:to>
      <xdr:col>8</xdr:col>
      <xdr:colOff>459685</xdr:colOff>
      <xdr:row>65</xdr:row>
      <xdr:rowOff>28575</xdr:rowOff>
    </xdr:to>
    <xdr:sp macro="" textlink="">
      <xdr:nvSpPr>
        <xdr:cNvPr id="3" name="Text Box 8">
          <a:extLst>
            <a:ext uri="{FF2B5EF4-FFF2-40B4-BE49-F238E27FC236}">
              <a16:creationId xmlns:a16="http://schemas.microsoft.com/office/drawing/2014/main" id="{31901687-3671-4E96-AA3C-8FF851C4A0AB}"/>
            </a:ext>
          </a:extLst>
        </xdr:cNvPr>
        <xdr:cNvSpPr txBox="1">
          <a:spLocks noChangeArrowheads="1"/>
        </xdr:cNvSpPr>
      </xdr:nvSpPr>
      <xdr:spPr bwMode="auto">
        <a:xfrm>
          <a:off x="5645150" y="14351000"/>
          <a:ext cx="393010" cy="28575"/>
        </a:xfrm>
        <a:prstGeom prst="rect">
          <a:avLst/>
        </a:prstGeom>
        <a:noFill/>
        <a:ln w="9525">
          <a:noFill/>
          <a:miter lim="800000"/>
          <a:headEnd/>
          <a:tailEnd/>
        </a:ln>
      </xdr:spPr>
    </xdr:sp>
    <xdr:clientData/>
  </xdr:twoCellAnchor>
  <xdr:twoCellAnchor editAs="oneCell">
    <xdr:from>
      <xdr:col>8</xdr:col>
      <xdr:colOff>66675</xdr:colOff>
      <xdr:row>65</xdr:row>
      <xdr:rowOff>0</xdr:rowOff>
    </xdr:from>
    <xdr:to>
      <xdr:col>8</xdr:col>
      <xdr:colOff>459685</xdr:colOff>
      <xdr:row>65</xdr:row>
      <xdr:rowOff>28575</xdr:rowOff>
    </xdr:to>
    <xdr:sp macro="" textlink="">
      <xdr:nvSpPr>
        <xdr:cNvPr id="4" name="Text Box 8">
          <a:extLst>
            <a:ext uri="{FF2B5EF4-FFF2-40B4-BE49-F238E27FC236}">
              <a16:creationId xmlns:a16="http://schemas.microsoft.com/office/drawing/2014/main" id="{531BE57F-294E-42E7-B965-63E6412EE417}"/>
            </a:ext>
          </a:extLst>
        </xdr:cNvPr>
        <xdr:cNvSpPr txBox="1">
          <a:spLocks noChangeArrowheads="1"/>
        </xdr:cNvSpPr>
      </xdr:nvSpPr>
      <xdr:spPr bwMode="auto">
        <a:xfrm>
          <a:off x="5645150" y="14351000"/>
          <a:ext cx="393010" cy="28575"/>
        </a:xfrm>
        <a:prstGeom prst="rect">
          <a:avLst/>
        </a:prstGeom>
        <a:noFill/>
        <a:ln w="9525">
          <a:noFill/>
          <a:miter lim="800000"/>
          <a:headEnd/>
          <a:tailEnd/>
        </a:ln>
      </xdr:spPr>
    </xdr:sp>
    <xdr:clientData/>
  </xdr:twoCellAnchor>
  <xdr:twoCellAnchor editAs="oneCell">
    <xdr:from>
      <xdr:col>8</xdr:col>
      <xdr:colOff>66675</xdr:colOff>
      <xdr:row>65</xdr:row>
      <xdr:rowOff>0</xdr:rowOff>
    </xdr:from>
    <xdr:to>
      <xdr:col>8</xdr:col>
      <xdr:colOff>459685</xdr:colOff>
      <xdr:row>65</xdr:row>
      <xdr:rowOff>28575</xdr:rowOff>
    </xdr:to>
    <xdr:sp macro="" textlink="">
      <xdr:nvSpPr>
        <xdr:cNvPr id="5" name="Text Box 8">
          <a:extLst>
            <a:ext uri="{FF2B5EF4-FFF2-40B4-BE49-F238E27FC236}">
              <a16:creationId xmlns:a16="http://schemas.microsoft.com/office/drawing/2014/main" id="{B2B006E5-0DC0-4A9D-81D3-17D2EF4E01DD}"/>
            </a:ext>
          </a:extLst>
        </xdr:cNvPr>
        <xdr:cNvSpPr txBox="1">
          <a:spLocks noChangeArrowheads="1"/>
        </xdr:cNvSpPr>
      </xdr:nvSpPr>
      <xdr:spPr bwMode="auto">
        <a:xfrm>
          <a:off x="5645150" y="14351000"/>
          <a:ext cx="393010" cy="28575"/>
        </a:xfrm>
        <a:prstGeom prst="rect">
          <a:avLst/>
        </a:prstGeom>
        <a:noFill/>
        <a:ln w="9525">
          <a:noFill/>
          <a:miter lim="800000"/>
          <a:headEnd/>
          <a:tailEnd/>
        </a:ln>
      </xdr:spPr>
    </xdr:sp>
    <xdr:clientData/>
  </xdr:twoCellAnchor>
  <xdr:twoCellAnchor editAs="oneCell">
    <xdr:from>
      <xdr:col>8</xdr:col>
      <xdr:colOff>66675</xdr:colOff>
      <xdr:row>65</xdr:row>
      <xdr:rowOff>0</xdr:rowOff>
    </xdr:from>
    <xdr:to>
      <xdr:col>8</xdr:col>
      <xdr:colOff>459685</xdr:colOff>
      <xdr:row>65</xdr:row>
      <xdr:rowOff>28575</xdr:rowOff>
    </xdr:to>
    <xdr:sp macro="" textlink="">
      <xdr:nvSpPr>
        <xdr:cNvPr id="6" name="Text Box 8">
          <a:extLst>
            <a:ext uri="{FF2B5EF4-FFF2-40B4-BE49-F238E27FC236}">
              <a16:creationId xmlns:a16="http://schemas.microsoft.com/office/drawing/2014/main" id="{EF0B77DA-D9FE-446B-8729-37F183A27566}"/>
            </a:ext>
          </a:extLst>
        </xdr:cNvPr>
        <xdr:cNvSpPr txBox="1">
          <a:spLocks noChangeArrowheads="1"/>
        </xdr:cNvSpPr>
      </xdr:nvSpPr>
      <xdr:spPr bwMode="auto">
        <a:xfrm>
          <a:off x="5645150" y="14351000"/>
          <a:ext cx="393010" cy="28575"/>
        </a:xfrm>
        <a:prstGeom prst="rect">
          <a:avLst/>
        </a:prstGeom>
        <a:noFill/>
        <a:ln w="9525">
          <a:noFill/>
          <a:miter lim="800000"/>
          <a:headEnd/>
          <a:tailEnd/>
        </a:ln>
      </xdr:spPr>
    </xdr:sp>
    <xdr:clientData/>
  </xdr:twoCellAnchor>
  <xdr:twoCellAnchor editAs="oneCell">
    <xdr:from>
      <xdr:col>8</xdr:col>
      <xdr:colOff>66675</xdr:colOff>
      <xdr:row>65</xdr:row>
      <xdr:rowOff>0</xdr:rowOff>
    </xdr:from>
    <xdr:to>
      <xdr:col>8</xdr:col>
      <xdr:colOff>459685</xdr:colOff>
      <xdr:row>65</xdr:row>
      <xdr:rowOff>28575</xdr:rowOff>
    </xdr:to>
    <xdr:sp macro="" textlink="">
      <xdr:nvSpPr>
        <xdr:cNvPr id="7" name="Text Box 8">
          <a:extLst>
            <a:ext uri="{FF2B5EF4-FFF2-40B4-BE49-F238E27FC236}">
              <a16:creationId xmlns:a16="http://schemas.microsoft.com/office/drawing/2014/main" id="{30049465-CAF5-443A-B7D0-7523CBDA458B}"/>
            </a:ext>
          </a:extLst>
        </xdr:cNvPr>
        <xdr:cNvSpPr txBox="1">
          <a:spLocks noChangeArrowheads="1"/>
        </xdr:cNvSpPr>
      </xdr:nvSpPr>
      <xdr:spPr bwMode="auto">
        <a:xfrm>
          <a:off x="5645150" y="14351000"/>
          <a:ext cx="393010" cy="28575"/>
        </a:xfrm>
        <a:prstGeom prst="rect">
          <a:avLst/>
        </a:prstGeom>
        <a:noFill/>
        <a:ln w="9525">
          <a:noFill/>
          <a:miter lim="800000"/>
          <a:headEnd/>
          <a:tailEnd/>
        </a:ln>
      </xdr:spPr>
    </xdr:sp>
    <xdr:clientData/>
  </xdr:twoCellAnchor>
  <xdr:twoCellAnchor editAs="oneCell">
    <xdr:from>
      <xdr:col>8</xdr:col>
      <xdr:colOff>66675</xdr:colOff>
      <xdr:row>65</xdr:row>
      <xdr:rowOff>0</xdr:rowOff>
    </xdr:from>
    <xdr:to>
      <xdr:col>8</xdr:col>
      <xdr:colOff>459685</xdr:colOff>
      <xdr:row>65</xdr:row>
      <xdr:rowOff>28575</xdr:rowOff>
    </xdr:to>
    <xdr:sp macro="" textlink="">
      <xdr:nvSpPr>
        <xdr:cNvPr id="8" name="Text Box 8">
          <a:extLst>
            <a:ext uri="{FF2B5EF4-FFF2-40B4-BE49-F238E27FC236}">
              <a16:creationId xmlns:a16="http://schemas.microsoft.com/office/drawing/2014/main" id="{9B1776D3-B8E3-4B51-808F-DE2EDD5C0B30}"/>
            </a:ext>
          </a:extLst>
        </xdr:cNvPr>
        <xdr:cNvSpPr txBox="1">
          <a:spLocks noChangeArrowheads="1"/>
        </xdr:cNvSpPr>
      </xdr:nvSpPr>
      <xdr:spPr bwMode="auto">
        <a:xfrm>
          <a:off x="5645150" y="14351000"/>
          <a:ext cx="393010" cy="28575"/>
        </a:xfrm>
        <a:prstGeom prst="rect">
          <a:avLst/>
        </a:prstGeom>
        <a:noFill/>
        <a:ln w="9525">
          <a:noFill/>
          <a:miter lim="800000"/>
          <a:headEnd/>
          <a:tailEnd/>
        </a:ln>
      </xdr:spPr>
    </xdr:sp>
    <xdr:clientData/>
  </xdr:twoCellAnchor>
  <xdr:twoCellAnchor editAs="oneCell">
    <xdr:from>
      <xdr:col>0</xdr:col>
      <xdr:colOff>1</xdr:colOff>
      <xdr:row>0</xdr:row>
      <xdr:rowOff>141778</xdr:rowOff>
    </xdr:from>
    <xdr:to>
      <xdr:col>1</xdr:col>
      <xdr:colOff>726999</xdr:colOff>
      <xdr:row>0</xdr:row>
      <xdr:rowOff>482789</xdr:rowOff>
    </xdr:to>
    <xdr:pic>
      <xdr:nvPicPr>
        <xdr:cNvPr id="9" name="Picture 8">
          <a:extLst>
            <a:ext uri="{FF2B5EF4-FFF2-40B4-BE49-F238E27FC236}">
              <a16:creationId xmlns:a16="http://schemas.microsoft.com/office/drawing/2014/main" id="{053A27CD-E96B-473E-A8E3-91A70A8C1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141778"/>
          <a:ext cx="942258" cy="341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752783</xdr:colOff>
      <xdr:row>0</xdr:row>
      <xdr:rowOff>10243</xdr:rowOff>
    </xdr:from>
    <xdr:to>
      <xdr:col>2</xdr:col>
      <xdr:colOff>3014915</xdr:colOff>
      <xdr:row>1</xdr:row>
      <xdr:rowOff>81936</xdr:rowOff>
    </xdr:to>
    <xdr:sp macro="" textlink="">
      <xdr:nvSpPr>
        <xdr:cNvPr id="10" name="Text Box 7">
          <a:extLst>
            <a:ext uri="{FF2B5EF4-FFF2-40B4-BE49-F238E27FC236}">
              <a16:creationId xmlns:a16="http://schemas.microsoft.com/office/drawing/2014/main" id="{D89941E6-1720-47E7-9468-7DBF930ED16F}"/>
            </a:ext>
          </a:extLst>
        </xdr:cNvPr>
        <xdr:cNvSpPr txBox="1">
          <a:spLocks noChangeArrowheads="1"/>
        </xdr:cNvSpPr>
      </xdr:nvSpPr>
      <xdr:spPr bwMode="auto">
        <a:xfrm>
          <a:off x="1141977" y="10243"/>
          <a:ext cx="3789516" cy="870564"/>
        </a:xfrm>
        <a:prstGeom prst="rect">
          <a:avLst/>
        </a:prstGeom>
        <a:noFill/>
        <a:ln w="9525">
          <a:noFill/>
          <a:miter lim="800000"/>
          <a:headEnd/>
          <a:tailEnd/>
        </a:ln>
      </xdr:spPr>
      <xdr:txBody>
        <a:bodyPr vertOverflow="clip" wrap="square" lIns="18288" tIns="27432" rIns="0" bIns="0" anchor="t" upright="1"/>
        <a:lstStyle/>
        <a:p>
          <a:pPr algn="l" rtl="0">
            <a:defRPr sz="1000"/>
          </a:pPr>
          <a:r>
            <a:rPr lang="en-US" sz="1000" b="1" i="0" u="none" strike="noStrike" baseline="0">
              <a:solidFill>
                <a:srgbClr val="000000"/>
              </a:solidFill>
              <a:latin typeface="Trebuchet MS" pitchFamily="34" charset="0"/>
              <a:ea typeface="Verdana" pitchFamily="34" charset="0"/>
              <a:cs typeface="Verdana" pitchFamily="34" charset="0"/>
            </a:rPr>
            <a:t>Connectivity IT Solutions Pvt Ltd</a:t>
          </a:r>
        </a:p>
        <a:p>
          <a:pPr algn="l"/>
          <a:r>
            <a:rPr lang="en-US" sz="1000">
              <a:effectLst/>
              <a:latin typeface="Trebuchet MS" pitchFamily="34" charset="0"/>
              <a:ea typeface="Verdana" pitchFamily="34" charset="0"/>
              <a:cs typeface="Verdana" pitchFamily="34" charset="0"/>
            </a:rPr>
            <a:t>#1877, 3rd Floor, “Gangothri”, 31st Cross, 10th Main, Banashankari 2nd Stage,Bengaluru – 560070</a:t>
          </a:r>
        </a:p>
        <a:p>
          <a:pPr algn="l"/>
          <a:r>
            <a:rPr lang="en-US" sz="1000">
              <a:effectLst/>
              <a:latin typeface="Trebuchet MS" pitchFamily="34" charset="0"/>
              <a:ea typeface="Verdana" pitchFamily="34" charset="0"/>
              <a:cs typeface="Verdana" pitchFamily="34" charset="0"/>
            </a:rPr>
            <a:t>Phone: +91-80-26713547 &amp; +91-80-26716555, Tele/Fax: +91-80-26713636</a:t>
          </a:r>
          <a:endParaRPr lang="en-IN" sz="1000">
            <a:effectLst/>
            <a:latin typeface="Trebuchet MS" pitchFamily="34" charset="0"/>
            <a:ea typeface="Verdana" pitchFamily="34" charset="0"/>
            <a:cs typeface="Verdana"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0</xdr:colOff>
      <xdr:row>41</xdr:row>
      <xdr:rowOff>0</xdr:rowOff>
    </xdr:from>
    <xdr:to>
      <xdr:col>11</xdr:col>
      <xdr:colOff>356008</xdr:colOff>
      <xdr:row>41</xdr:row>
      <xdr:rowOff>28575</xdr:rowOff>
    </xdr:to>
    <xdr:sp macro="" textlink="">
      <xdr:nvSpPr>
        <xdr:cNvPr id="2" name="Text Box 8">
          <a:extLst>
            <a:ext uri="{FF2B5EF4-FFF2-40B4-BE49-F238E27FC236}">
              <a16:creationId xmlns:a16="http://schemas.microsoft.com/office/drawing/2014/main" id="{693B13F6-598D-4D27-980D-D7CBEB37B0CD}"/>
            </a:ext>
          </a:extLst>
        </xdr:cNvPr>
        <xdr:cNvSpPr txBox="1">
          <a:spLocks noChangeArrowheads="1"/>
        </xdr:cNvSpPr>
      </xdr:nvSpPr>
      <xdr:spPr bwMode="auto">
        <a:xfrm>
          <a:off x="4648200" y="21875750"/>
          <a:ext cx="356008" cy="28575"/>
        </a:xfrm>
        <a:prstGeom prst="rect">
          <a:avLst/>
        </a:prstGeom>
        <a:noFill/>
        <a:ln w="9525">
          <a:noFill/>
          <a:miter lim="800000"/>
          <a:headEnd/>
          <a:tailEnd/>
        </a:ln>
      </xdr:spPr>
    </xdr:sp>
    <xdr:clientData/>
  </xdr:twoCellAnchor>
  <xdr:twoCellAnchor editAs="oneCell">
    <xdr:from>
      <xdr:col>8</xdr:col>
      <xdr:colOff>66675</xdr:colOff>
      <xdr:row>41</xdr:row>
      <xdr:rowOff>0</xdr:rowOff>
    </xdr:from>
    <xdr:to>
      <xdr:col>8</xdr:col>
      <xdr:colOff>459685</xdr:colOff>
      <xdr:row>41</xdr:row>
      <xdr:rowOff>28575</xdr:rowOff>
    </xdr:to>
    <xdr:sp macro="" textlink="">
      <xdr:nvSpPr>
        <xdr:cNvPr id="3" name="Text Box 8">
          <a:extLst>
            <a:ext uri="{FF2B5EF4-FFF2-40B4-BE49-F238E27FC236}">
              <a16:creationId xmlns:a16="http://schemas.microsoft.com/office/drawing/2014/main" id="{BC8E8198-CAB4-4AA9-818C-27D657224877}"/>
            </a:ext>
          </a:extLst>
        </xdr:cNvPr>
        <xdr:cNvSpPr txBox="1">
          <a:spLocks noChangeArrowheads="1"/>
        </xdr:cNvSpPr>
      </xdr:nvSpPr>
      <xdr:spPr bwMode="auto">
        <a:xfrm>
          <a:off x="4648200" y="21875750"/>
          <a:ext cx="393010" cy="28575"/>
        </a:xfrm>
        <a:prstGeom prst="rect">
          <a:avLst/>
        </a:prstGeom>
        <a:noFill/>
        <a:ln w="9525">
          <a:noFill/>
          <a:miter lim="800000"/>
          <a:headEnd/>
          <a:tailEnd/>
        </a:ln>
      </xdr:spPr>
    </xdr:sp>
    <xdr:clientData/>
  </xdr:twoCellAnchor>
  <xdr:twoCellAnchor editAs="oneCell">
    <xdr:from>
      <xdr:col>8</xdr:col>
      <xdr:colOff>66675</xdr:colOff>
      <xdr:row>41</xdr:row>
      <xdr:rowOff>0</xdr:rowOff>
    </xdr:from>
    <xdr:to>
      <xdr:col>8</xdr:col>
      <xdr:colOff>459685</xdr:colOff>
      <xdr:row>41</xdr:row>
      <xdr:rowOff>28575</xdr:rowOff>
    </xdr:to>
    <xdr:sp macro="" textlink="">
      <xdr:nvSpPr>
        <xdr:cNvPr id="4" name="Text Box 8">
          <a:extLst>
            <a:ext uri="{FF2B5EF4-FFF2-40B4-BE49-F238E27FC236}">
              <a16:creationId xmlns:a16="http://schemas.microsoft.com/office/drawing/2014/main" id="{3D8DCC21-18FA-4AFA-88E7-17179AE790A4}"/>
            </a:ext>
          </a:extLst>
        </xdr:cNvPr>
        <xdr:cNvSpPr txBox="1">
          <a:spLocks noChangeArrowheads="1"/>
        </xdr:cNvSpPr>
      </xdr:nvSpPr>
      <xdr:spPr bwMode="auto">
        <a:xfrm>
          <a:off x="4648200" y="21875750"/>
          <a:ext cx="393010" cy="28575"/>
        </a:xfrm>
        <a:prstGeom prst="rect">
          <a:avLst/>
        </a:prstGeom>
        <a:noFill/>
        <a:ln w="9525">
          <a:noFill/>
          <a:miter lim="800000"/>
          <a:headEnd/>
          <a:tailEnd/>
        </a:ln>
      </xdr:spPr>
    </xdr:sp>
    <xdr:clientData/>
  </xdr:twoCellAnchor>
  <xdr:twoCellAnchor editAs="oneCell">
    <xdr:from>
      <xdr:col>8</xdr:col>
      <xdr:colOff>66675</xdr:colOff>
      <xdr:row>41</xdr:row>
      <xdr:rowOff>0</xdr:rowOff>
    </xdr:from>
    <xdr:to>
      <xdr:col>8</xdr:col>
      <xdr:colOff>459685</xdr:colOff>
      <xdr:row>41</xdr:row>
      <xdr:rowOff>28575</xdr:rowOff>
    </xdr:to>
    <xdr:sp macro="" textlink="">
      <xdr:nvSpPr>
        <xdr:cNvPr id="5" name="Text Box 8">
          <a:extLst>
            <a:ext uri="{FF2B5EF4-FFF2-40B4-BE49-F238E27FC236}">
              <a16:creationId xmlns:a16="http://schemas.microsoft.com/office/drawing/2014/main" id="{2E67FFC2-38A2-43AD-9704-DE33B59BEE10}"/>
            </a:ext>
          </a:extLst>
        </xdr:cNvPr>
        <xdr:cNvSpPr txBox="1">
          <a:spLocks noChangeArrowheads="1"/>
        </xdr:cNvSpPr>
      </xdr:nvSpPr>
      <xdr:spPr bwMode="auto">
        <a:xfrm>
          <a:off x="4648200" y="21875750"/>
          <a:ext cx="393010" cy="28575"/>
        </a:xfrm>
        <a:prstGeom prst="rect">
          <a:avLst/>
        </a:prstGeom>
        <a:noFill/>
        <a:ln w="9525">
          <a:noFill/>
          <a:miter lim="800000"/>
          <a:headEnd/>
          <a:tailEnd/>
        </a:ln>
      </xdr:spPr>
    </xdr:sp>
    <xdr:clientData/>
  </xdr:twoCellAnchor>
  <xdr:twoCellAnchor editAs="oneCell">
    <xdr:from>
      <xdr:col>8</xdr:col>
      <xdr:colOff>66675</xdr:colOff>
      <xdr:row>41</xdr:row>
      <xdr:rowOff>0</xdr:rowOff>
    </xdr:from>
    <xdr:to>
      <xdr:col>8</xdr:col>
      <xdr:colOff>459685</xdr:colOff>
      <xdr:row>41</xdr:row>
      <xdr:rowOff>28575</xdr:rowOff>
    </xdr:to>
    <xdr:sp macro="" textlink="">
      <xdr:nvSpPr>
        <xdr:cNvPr id="6" name="Text Box 8">
          <a:extLst>
            <a:ext uri="{FF2B5EF4-FFF2-40B4-BE49-F238E27FC236}">
              <a16:creationId xmlns:a16="http://schemas.microsoft.com/office/drawing/2014/main" id="{13675F8A-5F37-4A40-A911-1BCC7B586253}"/>
            </a:ext>
          </a:extLst>
        </xdr:cNvPr>
        <xdr:cNvSpPr txBox="1">
          <a:spLocks noChangeArrowheads="1"/>
        </xdr:cNvSpPr>
      </xdr:nvSpPr>
      <xdr:spPr bwMode="auto">
        <a:xfrm>
          <a:off x="4648200" y="21875750"/>
          <a:ext cx="393010" cy="28575"/>
        </a:xfrm>
        <a:prstGeom prst="rect">
          <a:avLst/>
        </a:prstGeom>
        <a:noFill/>
        <a:ln w="9525">
          <a:noFill/>
          <a:miter lim="800000"/>
          <a:headEnd/>
          <a:tailEnd/>
        </a:ln>
      </xdr:spPr>
    </xdr:sp>
    <xdr:clientData/>
  </xdr:twoCellAnchor>
  <xdr:twoCellAnchor editAs="oneCell">
    <xdr:from>
      <xdr:col>8</xdr:col>
      <xdr:colOff>66675</xdr:colOff>
      <xdr:row>41</xdr:row>
      <xdr:rowOff>0</xdr:rowOff>
    </xdr:from>
    <xdr:to>
      <xdr:col>8</xdr:col>
      <xdr:colOff>459685</xdr:colOff>
      <xdr:row>41</xdr:row>
      <xdr:rowOff>28575</xdr:rowOff>
    </xdr:to>
    <xdr:sp macro="" textlink="">
      <xdr:nvSpPr>
        <xdr:cNvPr id="7" name="Text Box 8">
          <a:extLst>
            <a:ext uri="{FF2B5EF4-FFF2-40B4-BE49-F238E27FC236}">
              <a16:creationId xmlns:a16="http://schemas.microsoft.com/office/drawing/2014/main" id="{F79E5DEE-CA2A-4BC0-BFAB-D7443C91C4C0}"/>
            </a:ext>
          </a:extLst>
        </xdr:cNvPr>
        <xdr:cNvSpPr txBox="1">
          <a:spLocks noChangeArrowheads="1"/>
        </xdr:cNvSpPr>
      </xdr:nvSpPr>
      <xdr:spPr bwMode="auto">
        <a:xfrm>
          <a:off x="4648200" y="21875750"/>
          <a:ext cx="393010" cy="28575"/>
        </a:xfrm>
        <a:prstGeom prst="rect">
          <a:avLst/>
        </a:prstGeom>
        <a:noFill/>
        <a:ln w="9525">
          <a:noFill/>
          <a:miter lim="800000"/>
          <a:headEnd/>
          <a:tailEnd/>
        </a:ln>
      </xdr:spPr>
    </xdr:sp>
    <xdr:clientData/>
  </xdr:twoCellAnchor>
  <xdr:twoCellAnchor editAs="oneCell">
    <xdr:from>
      <xdr:col>8</xdr:col>
      <xdr:colOff>66675</xdr:colOff>
      <xdr:row>41</xdr:row>
      <xdr:rowOff>0</xdr:rowOff>
    </xdr:from>
    <xdr:to>
      <xdr:col>8</xdr:col>
      <xdr:colOff>459685</xdr:colOff>
      <xdr:row>41</xdr:row>
      <xdr:rowOff>28575</xdr:rowOff>
    </xdr:to>
    <xdr:sp macro="" textlink="">
      <xdr:nvSpPr>
        <xdr:cNvPr id="8" name="Text Box 8">
          <a:extLst>
            <a:ext uri="{FF2B5EF4-FFF2-40B4-BE49-F238E27FC236}">
              <a16:creationId xmlns:a16="http://schemas.microsoft.com/office/drawing/2014/main" id="{71F67C20-5066-4D1F-AC94-8FE85F5B941E}"/>
            </a:ext>
          </a:extLst>
        </xdr:cNvPr>
        <xdr:cNvSpPr txBox="1">
          <a:spLocks noChangeArrowheads="1"/>
        </xdr:cNvSpPr>
      </xdr:nvSpPr>
      <xdr:spPr bwMode="auto">
        <a:xfrm>
          <a:off x="4648200" y="21875750"/>
          <a:ext cx="393010" cy="28575"/>
        </a:xfrm>
        <a:prstGeom prst="rect">
          <a:avLst/>
        </a:prstGeom>
        <a:noFill/>
        <a:ln w="9525">
          <a:noFill/>
          <a:miter lim="800000"/>
          <a:headEnd/>
          <a:tailEnd/>
        </a:ln>
      </xdr:spPr>
    </xdr:sp>
    <xdr:clientData/>
  </xdr:twoCellAnchor>
  <xdr:twoCellAnchor editAs="oneCell">
    <xdr:from>
      <xdr:col>0</xdr:col>
      <xdr:colOff>1</xdr:colOff>
      <xdr:row>0</xdr:row>
      <xdr:rowOff>141778</xdr:rowOff>
    </xdr:from>
    <xdr:to>
      <xdr:col>1</xdr:col>
      <xdr:colOff>743565</xdr:colOff>
      <xdr:row>0</xdr:row>
      <xdr:rowOff>482789</xdr:rowOff>
    </xdr:to>
    <xdr:pic>
      <xdr:nvPicPr>
        <xdr:cNvPr id="9" name="Picture 8">
          <a:extLst>
            <a:ext uri="{FF2B5EF4-FFF2-40B4-BE49-F238E27FC236}">
              <a16:creationId xmlns:a16="http://schemas.microsoft.com/office/drawing/2014/main" id="{4FD72A0C-9EF1-41EA-8A69-AD0DD6B94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141778"/>
          <a:ext cx="940414" cy="341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752783</xdr:colOff>
      <xdr:row>0</xdr:row>
      <xdr:rowOff>10243</xdr:rowOff>
    </xdr:from>
    <xdr:to>
      <xdr:col>2</xdr:col>
      <xdr:colOff>3288241</xdr:colOff>
      <xdr:row>1</xdr:row>
      <xdr:rowOff>81936</xdr:rowOff>
    </xdr:to>
    <xdr:sp macro="" textlink="">
      <xdr:nvSpPr>
        <xdr:cNvPr id="10" name="Text Box 7">
          <a:extLst>
            <a:ext uri="{FF2B5EF4-FFF2-40B4-BE49-F238E27FC236}">
              <a16:creationId xmlns:a16="http://schemas.microsoft.com/office/drawing/2014/main" id="{9F9DCC76-8FFC-4314-9044-12AC9353E838}"/>
            </a:ext>
          </a:extLst>
        </xdr:cNvPr>
        <xdr:cNvSpPr txBox="1">
          <a:spLocks noChangeArrowheads="1"/>
        </xdr:cNvSpPr>
      </xdr:nvSpPr>
      <xdr:spPr bwMode="auto">
        <a:xfrm>
          <a:off x="1140133" y="10243"/>
          <a:ext cx="3789721" cy="871793"/>
        </a:xfrm>
        <a:prstGeom prst="rect">
          <a:avLst/>
        </a:prstGeom>
        <a:noFill/>
        <a:ln w="9525">
          <a:noFill/>
          <a:miter lim="800000"/>
          <a:headEnd/>
          <a:tailEnd/>
        </a:ln>
      </xdr:spPr>
      <xdr:txBody>
        <a:bodyPr vertOverflow="clip" wrap="square" lIns="18288" tIns="27432" rIns="0" bIns="0" anchor="t" upright="1"/>
        <a:lstStyle/>
        <a:p>
          <a:pPr algn="l" rtl="0">
            <a:defRPr sz="1000"/>
          </a:pPr>
          <a:r>
            <a:rPr lang="en-US" sz="1000" b="1" i="0" u="none" strike="noStrike" baseline="0">
              <a:solidFill>
                <a:srgbClr val="000000"/>
              </a:solidFill>
              <a:latin typeface="Trebuchet MS" pitchFamily="34" charset="0"/>
              <a:ea typeface="Verdana" pitchFamily="34" charset="0"/>
              <a:cs typeface="Verdana" pitchFamily="34" charset="0"/>
            </a:rPr>
            <a:t>Connectivity IT Solutions Pvt Ltd</a:t>
          </a:r>
        </a:p>
        <a:p>
          <a:pPr algn="l"/>
          <a:r>
            <a:rPr lang="en-US" sz="1000">
              <a:effectLst/>
              <a:latin typeface="Trebuchet MS" pitchFamily="34" charset="0"/>
              <a:ea typeface="Verdana" pitchFamily="34" charset="0"/>
              <a:cs typeface="Verdana" pitchFamily="34" charset="0"/>
            </a:rPr>
            <a:t>#1877, 3rd Floor, “Gangothri”, 31st Cross, 10th Main, Banashankari 2nd Stage,Bengaluru – 560070</a:t>
          </a:r>
        </a:p>
        <a:p>
          <a:pPr algn="l"/>
          <a:r>
            <a:rPr lang="en-US" sz="1000">
              <a:effectLst/>
              <a:latin typeface="Trebuchet MS" pitchFamily="34" charset="0"/>
              <a:ea typeface="Verdana" pitchFamily="34" charset="0"/>
              <a:cs typeface="Verdana" pitchFamily="34" charset="0"/>
            </a:rPr>
            <a:t>Phone: +91-80-26713547 &amp; +91-80-26716555, Tele/Fax: +91-80-26713636</a:t>
          </a:r>
          <a:endParaRPr lang="en-IN" sz="1000">
            <a:effectLst/>
            <a:latin typeface="Trebuchet MS" pitchFamily="34" charset="0"/>
            <a:ea typeface="Verdana" pitchFamily="34" charset="0"/>
            <a:cs typeface="Verdana"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36</xdr:row>
      <xdr:rowOff>0</xdr:rowOff>
    </xdr:from>
    <xdr:to>
      <xdr:col>11</xdr:col>
      <xdr:colOff>356008</xdr:colOff>
      <xdr:row>36</xdr:row>
      <xdr:rowOff>28575</xdr:rowOff>
    </xdr:to>
    <xdr:sp macro="" textlink="">
      <xdr:nvSpPr>
        <xdr:cNvPr id="2" name="Text Box 8">
          <a:extLst>
            <a:ext uri="{FF2B5EF4-FFF2-40B4-BE49-F238E27FC236}">
              <a16:creationId xmlns:a16="http://schemas.microsoft.com/office/drawing/2014/main" id="{4624360A-5D87-4205-8851-1CA25C346457}"/>
            </a:ext>
          </a:extLst>
        </xdr:cNvPr>
        <xdr:cNvSpPr txBox="1">
          <a:spLocks noChangeArrowheads="1"/>
        </xdr:cNvSpPr>
      </xdr:nvSpPr>
      <xdr:spPr bwMode="auto">
        <a:xfrm>
          <a:off x="4648200" y="10591800"/>
          <a:ext cx="356008" cy="28575"/>
        </a:xfrm>
        <a:prstGeom prst="rect">
          <a:avLst/>
        </a:prstGeom>
        <a:noFill/>
        <a:ln w="9525">
          <a:noFill/>
          <a:miter lim="800000"/>
          <a:headEnd/>
          <a:tailEnd/>
        </a:ln>
      </xdr:spPr>
    </xdr:sp>
    <xdr:clientData/>
  </xdr:twoCellAnchor>
  <xdr:twoCellAnchor editAs="oneCell">
    <xdr:from>
      <xdr:col>8</xdr:col>
      <xdr:colOff>66675</xdr:colOff>
      <xdr:row>36</xdr:row>
      <xdr:rowOff>0</xdr:rowOff>
    </xdr:from>
    <xdr:to>
      <xdr:col>11</xdr:col>
      <xdr:colOff>393010</xdr:colOff>
      <xdr:row>36</xdr:row>
      <xdr:rowOff>28575</xdr:rowOff>
    </xdr:to>
    <xdr:sp macro="" textlink="">
      <xdr:nvSpPr>
        <xdr:cNvPr id="3" name="Text Box 8">
          <a:extLst>
            <a:ext uri="{FF2B5EF4-FFF2-40B4-BE49-F238E27FC236}">
              <a16:creationId xmlns:a16="http://schemas.microsoft.com/office/drawing/2014/main" id="{283A187A-64E9-4EA3-B9D2-182491AB9DD3}"/>
            </a:ext>
          </a:extLst>
        </xdr:cNvPr>
        <xdr:cNvSpPr txBox="1">
          <a:spLocks noChangeArrowheads="1"/>
        </xdr:cNvSpPr>
      </xdr:nvSpPr>
      <xdr:spPr bwMode="auto">
        <a:xfrm>
          <a:off x="4648200" y="10591800"/>
          <a:ext cx="393010" cy="28575"/>
        </a:xfrm>
        <a:prstGeom prst="rect">
          <a:avLst/>
        </a:prstGeom>
        <a:noFill/>
        <a:ln w="9525">
          <a:noFill/>
          <a:miter lim="800000"/>
          <a:headEnd/>
          <a:tailEnd/>
        </a:ln>
      </xdr:spPr>
    </xdr:sp>
    <xdr:clientData/>
  </xdr:twoCellAnchor>
  <xdr:twoCellAnchor editAs="oneCell">
    <xdr:from>
      <xdr:col>8</xdr:col>
      <xdr:colOff>66675</xdr:colOff>
      <xdr:row>36</xdr:row>
      <xdr:rowOff>0</xdr:rowOff>
    </xdr:from>
    <xdr:to>
      <xdr:col>11</xdr:col>
      <xdr:colOff>393010</xdr:colOff>
      <xdr:row>36</xdr:row>
      <xdr:rowOff>28575</xdr:rowOff>
    </xdr:to>
    <xdr:sp macro="" textlink="">
      <xdr:nvSpPr>
        <xdr:cNvPr id="4" name="Text Box 8">
          <a:extLst>
            <a:ext uri="{FF2B5EF4-FFF2-40B4-BE49-F238E27FC236}">
              <a16:creationId xmlns:a16="http://schemas.microsoft.com/office/drawing/2014/main" id="{CF214CB3-7230-49A7-83E3-C91EE4204802}"/>
            </a:ext>
          </a:extLst>
        </xdr:cNvPr>
        <xdr:cNvSpPr txBox="1">
          <a:spLocks noChangeArrowheads="1"/>
        </xdr:cNvSpPr>
      </xdr:nvSpPr>
      <xdr:spPr bwMode="auto">
        <a:xfrm>
          <a:off x="4648200" y="10591800"/>
          <a:ext cx="393010" cy="28575"/>
        </a:xfrm>
        <a:prstGeom prst="rect">
          <a:avLst/>
        </a:prstGeom>
        <a:noFill/>
        <a:ln w="9525">
          <a:noFill/>
          <a:miter lim="800000"/>
          <a:headEnd/>
          <a:tailEnd/>
        </a:ln>
      </xdr:spPr>
    </xdr:sp>
    <xdr:clientData/>
  </xdr:twoCellAnchor>
  <xdr:twoCellAnchor editAs="oneCell">
    <xdr:from>
      <xdr:col>8</xdr:col>
      <xdr:colOff>66675</xdr:colOff>
      <xdr:row>36</xdr:row>
      <xdr:rowOff>0</xdr:rowOff>
    </xdr:from>
    <xdr:to>
      <xdr:col>11</xdr:col>
      <xdr:colOff>393010</xdr:colOff>
      <xdr:row>36</xdr:row>
      <xdr:rowOff>28575</xdr:rowOff>
    </xdr:to>
    <xdr:sp macro="" textlink="">
      <xdr:nvSpPr>
        <xdr:cNvPr id="5" name="Text Box 8">
          <a:extLst>
            <a:ext uri="{FF2B5EF4-FFF2-40B4-BE49-F238E27FC236}">
              <a16:creationId xmlns:a16="http://schemas.microsoft.com/office/drawing/2014/main" id="{8F584A98-BC53-4515-B957-BF53F1AB7CC0}"/>
            </a:ext>
          </a:extLst>
        </xdr:cNvPr>
        <xdr:cNvSpPr txBox="1">
          <a:spLocks noChangeArrowheads="1"/>
        </xdr:cNvSpPr>
      </xdr:nvSpPr>
      <xdr:spPr bwMode="auto">
        <a:xfrm>
          <a:off x="4648200" y="10591800"/>
          <a:ext cx="393010" cy="28575"/>
        </a:xfrm>
        <a:prstGeom prst="rect">
          <a:avLst/>
        </a:prstGeom>
        <a:noFill/>
        <a:ln w="9525">
          <a:noFill/>
          <a:miter lim="800000"/>
          <a:headEnd/>
          <a:tailEnd/>
        </a:ln>
      </xdr:spPr>
    </xdr:sp>
    <xdr:clientData/>
  </xdr:twoCellAnchor>
  <xdr:twoCellAnchor editAs="oneCell">
    <xdr:from>
      <xdr:col>8</xdr:col>
      <xdr:colOff>66675</xdr:colOff>
      <xdr:row>36</xdr:row>
      <xdr:rowOff>0</xdr:rowOff>
    </xdr:from>
    <xdr:to>
      <xdr:col>11</xdr:col>
      <xdr:colOff>393010</xdr:colOff>
      <xdr:row>36</xdr:row>
      <xdr:rowOff>28575</xdr:rowOff>
    </xdr:to>
    <xdr:sp macro="" textlink="">
      <xdr:nvSpPr>
        <xdr:cNvPr id="6" name="Text Box 8">
          <a:extLst>
            <a:ext uri="{FF2B5EF4-FFF2-40B4-BE49-F238E27FC236}">
              <a16:creationId xmlns:a16="http://schemas.microsoft.com/office/drawing/2014/main" id="{8B132A5C-0E35-44AB-8C5C-662DC16CD020}"/>
            </a:ext>
          </a:extLst>
        </xdr:cNvPr>
        <xdr:cNvSpPr txBox="1">
          <a:spLocks noChangeArrowheads="1"/>
        </xdr:cNvSpPr>
      </xdr:nvSpPr>
      <xdr:spPr bwMode="auto">
        <a:xfrm>
          <a:off x="4648200" y="10591800"/>
          <a:ext cx="393010" cy="28575"/>
        </a:xfrm>
        <a:prstGeom prst="rect">
          <a:avLst/>
        </a:prstGeom>
        <a:noFill/>
        <a:ln w="9525">
          <a:noFill/>
          <a:miter lim="800000"/>
          <a:headEnd/>
          <a:tailEnd/>
        </a:ln>
      </xdr:spPr>
    </xdr:sp>
    <xdr:clientData/>
  </xdr:twoCellAnchor>
  <xdr:twoCellAnchor editAs="oneCell">
    <xdr:from>
      <xdr:col>8</xdr:col>
      <xdr:colOff>66675</xdr:colOff>
      <xdr:row>36</xdr:row>
      <xdr:rowOff>0</xdr:rowOff>
    </xdr:from>
    <xdr:to>
      <xdr:col>11</xdr:col>
      <xdr:colOff>393010</xdr:colOff>
      <xdr:row>36</xdr:row>
      <xdr:rowOff>28575</xdr:rowOff>
    </xdr:to>
    <xdr:sp macro="" textlink="">
      <xdr:nvSpPr>
        <xdr:cNvPr id="7" name="Text Box 8">
          <a:extLst>
            <a:ext uri="{FF2B5EF4-FFF2-40B4-BE49-F238E27FC236}">
              <a16:creationId xmlns:a16="http://schemas.microsoft.com/office/drawing/2014/main" id="{7B2E5051-CE6B-444F-9B59-AD7455421B7C}"/>
            </a:ext>
          </a:extLst>
        </xdr:cNvPr>
        <xdr:cNvSpPr txBox="1">
          <a:spLocks noChangeArrowheads="1"/>
        </xdr:cNvSpPr>
      </xdr:nvSpPr>
      <xdr:spPr bwMode="auto">
        <a:xfrm>
          <a:off x="4648200" y="10591800"/>
          <a:ext cx="393010" cy="28575"/>
        </a:xfrm>
        <a:prstGeom prst="rect">
          <a:avLst/>
        </a:prstGeom>
        <a:noFill/>
        <a:ln w="9525">
          <a:noFill/>
          <a:miter lim="800000"/>
          <a:headEnd/>
          <a:tailEnd/>
        </a:ln>
      </xdr:spPr>
    </xdr:sp>
    <xdr:clientData/>
  </xdr:twoCellAnchor>
  <xdr:twoCellAnchor editAs="oneCell">
    <xdr:from>
      <xdr:col>8</xdr:col>
      <xdr:colOff>66675</xdr:colOff>
      <xdr:row>36</xdr:row>
      <xdr:rowOff>0</xdr:rowOff>
    </xdr:from>
    <xdr:to>
      <xdr:col>11</xdr:col>
      <xdr:colOff>393010</xdr:colOff>
      <xdr:row>36</xdr:row>
      <xdr:rowOff>28575</xdr:rowOff>
    </xdr:to>
    <xdr:sp macro="" textlink="">
      <xdr:nvSpPr>
        <xdr:cNvPr id="8" name="Text Box 8">
          <a:extLst>
            <a:ext uri="{FF2B5EF4-FFF2-40B4-BE49-F238E27FC236}">
              <a16:creationId xmlns:a16="http://schemas.microsoft.com/office/drawing/2014/main" id="{DD1F9774-AE79-4A52-837D-55BF92E98EC3}"/>
            </a:ext>
          </a:extLst>
        </xdr:cNvPr>
        <xdr:cNvSpPr txBox="1">
          <a:spLocks noChangeArrowheads="1"/>
        </xdr:cNvSpPr>
      </xdr:nvSpPr>
      <xdr:spPr bwMode="auto">
        <a:xfrm>
          <a:off x="4648200" y="10591800"/>
          <a:ext cx="393010" cy="28575"/>
        </a:xfrm>
        <a:prstGeom prst="rect">
          <a:avLst/>
        </a:prstGeom>
        <a:noFill/>
        <a:ln w="9525">
          <a:noFill/>
          <a:miter lim="800000"/>
          <a:headEnd/>
          <a:tailEnd/>
        </a:ln>
      </xdr:spPr>
    </xdr:sp>
    <xdr:clientData/>
  </xdr:twoCellAnchor>
  <xdr:twoCellAnchor editAs="oneCell">
    <xdr:from>
      <xdr:col>0</xdr:col>
      <xdr:colOff>1</xdr:colOff>
      <xdr:row>0</xdr:row>
      <xdr:rowOff>141778</xdr:rowOff>
    </xdr:from>
    <xdr:to>
      <xdr:col>1</xdr:col>
      <xdr:colOff>553065</xdr:colOff>
      <xdr:row>0</xdr:row>
      <xdr:rowOff>482789</xdr:rowOff>
    </xdr:to>
    <xdr:pic>
      <xdr:nvPicPr>
        <xdr:cNvPr id="9" name="Picture 8">
          <a:extLst>
            <a:ext uri="{FF2B5EF4-FFF2-40B4-BE49-F238E27FC236}">
              <a16:creationId xmlns:a16="http://schemas.microsoft.com/office/drawing/2014/main" id="{290B079D-0151-42CF-ACF6-9AE119B72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141778"/>
          <a:ext cx="940414" cy="341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752783</xdr:colOff>
      <xdr:row>0</xdr:row>
      <xdr:rowOff>10243</xdr:rowOff>
    </xdr:from>
    <xdr:to>
      <xdr:col>11</xdr:col>
      <xdr:colOff>281654</xdr:colOff>
      <xdr:row>1</xdr:row>
      <xdr:rowOff>81936</xdr:rowOff>
    </xdr:to>
    <xdr:sp macro="" textlink="">
      <xdr:nvSpPr>
        <xdr:cNvPr id="10" name="Text Box 7">
          <a:extLst>
            <a:ext uri="{FF2B5EF4-FFF2-40B4-BE49-F238E27FC236}">
              <a16:creationId xmlns:a16="http://schemas.microsoft.com/office/drawing/2014/main" id="{53E0D47E-D2A6-4939-94A3-25E41702032F}"/>
            </a:ext>
          </a:extLst>
        </xdr:cNvPr>
        <xdr:cNvSpPr txBox="1">
          <a:spLocks noChangeArrowheads="1"/>
        </xdr:cNvSpPr>
      </xdr:nvSpPr>
      <xdr:spPr bwMode="auto">
        <a:xfrm>
          <a:off x="1140133" y="10243"/>
          <a:ext cx="3789721" cy="871793"/>
        </a:xfrm>
        <a:prstGeom prst="rect">
          <a:avLst/>
        </a:prstGeom>
        <a:noFill/>
        <a:ln w="9525">
          <a:noFill/>
          <a:miter lim="800000"/>
          <a:headEnd/>
          <a:tailEnd/>
        </a:ln>
      </xdr:spPr>
      <xdr:txBody>
        <a:bodyPr vertOverflow="clip" wrap="square" lIns="18288" tIns="27432" rIns="0" bIns="0" anchor="t" upright="1"/>
        <a:lstStyle/>
        <a:p>
          <a:pPr algn="l" rtl="0">
            <a:defRPr sz="1000"/>
          </a:pPr>
          <a:r>
            <a:rPr lang="en-US" sz="1000" b="1" i="0" u="none" strike="noStrike" baseline="0">
              <a:solidFill>
                <a:srgbClr val="000000"/>
              </a:solidFill>
              <a:latin typeface="Trebuchet MS" pitchFamily="34" charset="0"/>
              <a:ea typeface="Verdana" pitchFamily="34" charset="0"/>
              <a:cs typeface="Verdana" pitchFamily="34" charset="0"/>
            </a:rPr>
            <a:t>Connectivity IT Solutions Pvt Ltd</a:t>
          </a:r>
        </a:p>
        <a:p>
          <a:pPr algn="l"/>
          <a:r>
            <a:rPr lang="en-US" sz="1000">
              <a:effectLst/>
              <a:latin typeface="Trebuchet MS" pitchFamily="34" charset="0"/>
              <a:ea typeface="Verdana" pitchFamily="34" charset="0"/>
              <a:cs typeface="Verdana" pitchFamily="34" charset="0"/>
            </a:rPr>
            <a:t>#1877, 3rd Floor, “Gangothri”, 31st Cross, 10th Main, Banashankari 2nd Stage,Bengaluru – 560070</a:t>
          </a:r>
        </a:p>
        <a:p>
          <a:pPr algn="l"/>
          <a:r>
            <a:rPr lang="en-US" sz="1000">
              <a:effectLst/>
              <a:latin typeface="Trebuchet MS" pitchFamily="34" charset="0"/>
              <a:ea typeface="Verdana" pitchFamily="34" charset="0"/>
              <a:cs typeface="Verdana" pitchFamily="34" charset="0"/>
            </a:rPr>
            <a:t>Phone: +91-80-26713547 &amp; +91-80-26716555, Tele/Fax: +91-80-26713636</a:t>
          </a:r>
          <a:endParaRPr lang="en-IN" sz="1000">
            <a:effectLst/>
            <a:latin typeface="Trebuchet MS" pitchFamily="34" charset="0"/>
            <a:ea typeface="Verdana" pitchFamily="34" charset="0"/>
            <a:cs typeface="Verdana"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www.cosol.in/" TargetMode="Externa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cosol.in/" TargetMode="Externa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http://www.cosol.in/" TargetMode="External"/><Relationship Id="rId4"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IV4"/>
  <sheetViews>
    <sheetView workbookViewId="0"/>
  </sheetViews>
  <sheetFormatPr defaultRowHeight="12.75"/>
  <sheetData>
    <row r="1" spans="1:256">
      <c r="A1" t="e">
        <f>IF(#REF!,"AAAAAH7/7QA=",0)</f>
        <v>#REF!</v>
      </c>
      <c r="B1" t="e">
        <f>AND(#REF!,"AAAAAH7/7QE=")</f>
        <v>#REF!</v>
      </c>
      <c r="C1" t="e">
        <f>AND(#REF!,"AAAAAH7/7QI=")</f>
        <v>#REF!</v>
      </c>
      <c r="D1" t="e">
        <f>AND(#REF!,"AAAAAH7/7QM=")</f>
        <v>#REF!</v>
      </c>
      <c r="E1" t="e">
        <f>AND(#REF!,"AAAAAH7/7QQ=")</f>
        <v>#REF!</v>
      </c>
      <c r="F1" t="e">
        <f>AND(#REF!,"AAAAAH7/7QU=")</f>
        <v>#REF!</v>
      </c>
      <c r="G1" t="e">
        <f>AND(#REF!,"AAAAAH7/7QY=")</f>
        <v>#REF!</v>
      </c>
      <c r="H1" t="e">
        <f>AND(#REF!,"AAAAAH7/7Qc=")</f>
        <v>#REF!</v>
      </c>
      <c r="I1" t="e">
        <f>AND(#REF!,"AAAAAH7/7Qg=")</f>
        <v>#REF!</v>
      </c>
      <c r="J1" t="e">
        <f>AND(#REF!,"AAAAAH7/7Qk=")</f>
        <v>#REF!</v>
      </c>
      <c r="K1" t="e">
        <f>AND(#REF!,"AAAAAH7/7Qo=")</f>
        <v>#REF!</v>
      </c>
      <c r="L1" t="e">
        <f>AND(#REF!,"AAAAAH7/7Qs=")</f>
        <v>#REF!</v>
      </c>
      <c r="M1" t="e">
        <f>AND(#REF!,"AAAAAH7/7Qw=")</f>
        <v>#REF!</v>
      </c>
      <c r="N1" t="e">
        <f>AND(#REF!,"AAAAAH7/7Q0=")</f>
        <v>#REF!</v>
      </c>
      <c r="O1" t="e">
        <f>AND(#REF!,"AAAAAH7/7Q4=")</f>
        <v>#REF!</v>
      </c>
      <c r="P1" t="e">
        <f>AND(#REF!,"AAAAAH7/7Q8=")</f>
        <v>#REF!</v>
      </c>
      <c r="Q1" t="e">
        <f>AND(#REF!,"AAAAAH7/7RA=")</f>
        <v>#REF!</v>
      </c>
      <c r="R1" t="e">
        <f>AND(#REF!,"AAAAAH7/7RE=")</f>
        <v>#REF!</v>
      </c>
      <c r="S1" t="e">
        <f>AND(#REF!,"AAAAAH7/7RI=")</f>
        <v>#REF!</v>
      </c>
      <c r="T1" t="e">
        <f>IF(#REF!,"AAAAAH7/7RM=",0)</f>
        <v>#REF!</v>
      </c>
      <c r="U1" t="e">
        <f>AND(#REF!,"AAAAAH7/7RQ=")</f>
        <v>#REF!</v>
      </c>
      <c r="V1" t="e">
        <f>AND(#REF!,"AAAAAH7/7RU=")</f>
        <v>#REF!</v>
      </c>
      <c r="W1" t="e">
        <f>AND(#REF!,"AAAAAH7/7RY=")</f>
        <v>#REF!</v>
      </c>
      <c r="X1" t="e">
        <f>AND(#REF!,"AAAAAH7/7Rc=")</f>
        <v>#REF!</v>
      </c>
      <c r="Y1" t="e">
        <f>AND(#REF!,"AAAAAH7/7Rg=")</f>
        <v>#REF!</v>
      </c>
      <c r="Z1" t="e">
        <f>AND(#REF!,"AAAAAH7/7Rk=")</f>
        <v>#REF!</v>
      </c>
      <c r="AA1" t="e">
        <f>AND(#REF!,"AAAAAH7/7Ro=")</f>
        <v>#REF!</v>
      </c>
      <c r="AB1" t="e">
        <f>AND(#REF!,"AAAAAH7/7Rs=")</f>
        <v>#REF!</v>
      </c>
      <c r="AC1" t="e">
        <f>AND(#REF!,"AAAAAH7/7Rw=")</f>
        <v>#REF!</v>
      </c>
      <c r="AD1" t="e">
        <f>AND(#REF!,"AAAAAH7/7R0=")</f>
        <v>#REF!</v>
      </c>
      <c r="AE1" t="e">
        <f>AND(#REF!,"AAAAAH7/7R4=")</f>
        <v>#REF!</v>
      </c>
      <c r="AF1" t="e">
        <f>AND(#REF!,"AAAAAH7/7R8=")</f>
        <v>#REF!</v>
      </c>
      <c r="AG1" t="e">
        <f>AND(#REF!,"AAAAAH7/7SA=")</f>
        <v>#REF!</v>
      </c>
      <c r="AH1" t="e">
        <f>AND(#REF!,"AAAAAH7/7SE=")</f>
        <v>#REF!</v>
      </c>
      <c r="AI1" t="e">
        <f>AND(#REF!,"AAAAAH7/7SI=")</f>
        <v>#REF!</v>
      </c>
      <c r="AJ1" t="e">
        <f>AND(#REF!,"AAAAAH7/7SM=")</f>
        <v>#REF!</v>
      </c>
      <c r="AK1" t="e">
        <f>AND(#REF!,"AAAAAH7/7SQ=")</f>
        <v>#REF!</v>
      </c>
      <c r="AL1" t="e">
        <f>AND(#REF!,"AAAAAH7/7SU=")</f>
        <v>#REF!</v>
      </c>
      <c r="AM1" t="e">
        <f>IF(#REF!,"AAAAAH7/7SY=",0)</f>
        <v>#REF!</v>
      </c>
      <c r="AN1" t="e">
        <f>AND(#REF!,"AAAAAH7/7Sc=")</f>
        <v>#REF!</v>
      </c>
      <c r="AO1" t="e">
        <f>AND(#REF!,"AAAAAH7/7Sg=")</f>
        <v>#REF!</v>
      </c>
      <c r="AP1" t="e">
        <f>AND(#REF!,"AAAAAH7/7Sk=")</f>
        <v>#REF!</v>
      </c>
      <c r="AQ1" t="e">
        <f>AND(#REF!,"AAAAAH7/7So=")</f>
        <v>#REF!</v>
      </c>
      <c r="AR1" t="e">
        <f>AND(#REF!,"AAAAAH7/7Ss=")</f>
        <v>#REF!</v>
      </c>
      <c r="AS1" t="e">
        <f>AND(#REF!,"AAAAAH7/7Sw=")</f>
        <v>#REF!</v>
      </c>
      <c r="AT1" t="e">
        <f>AND(#REF!,"AAAAAH7/7S0=")</f>
        <v>#REF!</v>
      </c>
      <c r="AU1" t="e">
        <f>AND(#REF!,"AAAAAH7/7S4=")</f>
        <v>#REF!</v>
      </c>
      <c r="AV1" t="e">
        <f>AND(#REF!,"AAAAAH7/7S8=")</f>
        <v>#REF!</v>
      </c>
      <c r="AW1" t="e">
        <f>AND(#REF!,"AAAAAH7/7TA=")</f>
        <v>#REF!</v>
      </c>
      <c r="AX1" t="e">
        <f>AND(#REF!,"AAAAAH7/7TE=")</f>
        <v>#REF!</v>
      </c>
      <c r="AY1" t="e">
        <f>AND(#REF!,"AAAAAH7/7TI=")</f>
        <v>#REF!</v>
      </c>
      <c r="AZ1" t="e">
        <f>AND(#REF!,"AAAAAH7/7TM=")</f>
        <v>#REF!</v>
      </c>
      <c r="BA1" t="e">
        <f>AND(#REF!,"AAAAAH7/7TQ=")</f>
        <v>#REF!</v>
      </c>
      <c r="BB1" t="e">
        <f>AND(#REF!,"AAAAAH7/7TU=")</f>
        <v>#REF!</v>
      </c>
      <c r="BC1" t="e">
        <f>AND(#REF!,"AAAAAH7/7TY=")</f>
        <v>#REF!</v>
      </c>
      <c r="BD1" t="e">
        <f>AND(#REF!,"AAAAAH7/7Tc=")</f>
        <v>#REF!</v>
      </c>
      <c r="BE1" t="e">
        <f>AND(#REF!,"AAAAAH7/7Tg=")</f>
        <v>#REF!</v>
      </c>
      <c r="BF1" t="e">
        <f>IF(#REF!,"AAAAAH7/7Tk=",0)</f>
        <v>#REF!</v>
      </c>
      <c r="BG1" t="e">
        <f>AND(#REF!,"AAAAAH7/7To=")</f>
        <v>#REF!</v>
      </c>
      <c r="BH1" t="e">
        <f>AND(#REF!,"AAAAAH7/7Ts=")</f>
        <v>#REF!</v>
      </c>
      <c r="BI1" t="e">
        <f>AND(#REF!,"AAAAAH7/7Tw=")</f>
        <v>#REF!</v>
      </c>
      <c r="BJ1" t="e">
        <f>AND(#REF!,"AAAAAH7/7T0=")</f>
        <v>#REF!</v>
      </c>
      <c r="BK1" t="e">
        <f>AND(#REF!,"AAAAAH7/7T4=")</f>
        <v>#REF!</v>
      </c>
      <c r="BL1" t="e">
        <f>AND(#REF!,"AAAAAH7/7T8=")</f>
        <v>#REF!</v>
      </c>
      <c r="BM1" t="e">
        <f>AND(#REF!,"AAAAAH7/7UA=")</f>
        <v>#REF!</v>
      </c>
      <c r="BN1" t="e">
        <f>AND(#REF!,"AAAAAH7/7UE=")</f>
        <v>#REF!</v>
      </c>
      <c r="BO1" t="e">
        <f>AND(#REF!,"AAAAAH7/7UI=")</f>
        <v>#REF!</v>
      </c>
      <c r="BP1" t="e">
        <f>AND(#REF!,"AAAAAH7/7UM=")</f>
        <v>#REF!</v>
      </c>
      <c r="BQ1" t="e">
        <f>AND(#REF!,"AAAAAH7/7UQ=")</f>
        <v>#REF!</v>
      </c>
      <c r="BR1" t="e">
        <f>AND(#REF!,"AAAAAH7/7UU=")</f>
        <v>#REF!</v>
      </c>
      <c r="BS1" t="e">
        <f>AND(#REF!,"AAAAAH7/7UY=")</f>
        <v>#REF!</v>
      </c>
      <c r="BT1" t="e">
        <f>AND(#REF!,"AAAAAH7/7Uc=")</f>
        <v>#REF!</v>
      </c>
      <c r="BU1" t="e">
        <f>AND(#REF!,"AAAAAH7/7Ug=")</f>
        <v>#REF!</v>
      </c>
      <c r="BV1" t="e">
        <f>AND(#REF!,"AAAAAH7/7Uk=")</f>
        <v>#REF!</v>
      </c>
      <c r="BW1" t="e">
        <f>AND(#REF!,"AAAAAH7/7Uo=")</f>
        <v>#REF!</v>
      </c>
      <c r="BX1" t="e">
        <f>AND(#REF!,"AAAAAH7/7Us=")</f>
        <v>#REF!</v>
      </c>
      <c r="BY1" t="e">
        <f>IF(#REF!,"AAAAAH7/7Uw=",0)</f>
        <v>#REF!</v>
      </c>
      <c r="BZ1" t="e">
        <f>AND(#REF!,"AAAAAH7/7U0=")</f>
        <v>#REF!</v>
      </c>
      <c r="CA1" t="e">
        <f>AND(#REF!,"AAAAAH7/7U4=")</f>
        <v>#REF!</v>
      </c>
      <c r="CB1" t="e">
        <f>AND(#REF!,"AAAAAH7/7U8=")</f>
        <v>#REF!</v>
      </c>
      <c r="CC1" t="e">
        <f>AND(#REF!,"AAAAAH7/7VA=")</f>
        <v>#REF!</v>
      </c>
      <c r="CD1" t="e">
        <f>AND(#REF!,"AAAAAH7/7VE=")</f>
        <v>#REF!</v>
      </c>
      <c r="CE1" t="e">
        <f>AND(#REF!,"AAAAAH7/7VI=")</f>
        <v>#REF!</v>
      </c>
      <c r="CF1" t="e">
        <f>AND(#REF!,"AAAAAH7/7VM=")</f>
        <v>#REF!</v>
      </c>
      <c r="CG1" t="e">
        <f>AND(#REF!,"AAAAAH7/7VQ=")</f>
        <v>#REF!</v>
      </c>
      <c r="CH1" t="e">
        <f>AND(#REF!,"AAAAAH7/7VU=")</f>
        <v>#REF!</v>
      </c>
      <c r="CI1" t="e">
        <f>AND(#REF!,"AAAAAH7/7VY=")</f>
        <v>#REF!</v>
      </c>
      <c r="CJ1" t="e">
        <f>AND(#REF!,"AAAAAH7/7Vc=")</f>
        <v>#REF!</v>
      </c>
      <c r="CK1" t="e">
        <f>AND(#REF!,"AAAAAH7/7Vg=")</f>
        <v>#REF!</v>
      </c>
      <c r="CL1" t="e">
        <f>AND(#REF!,"AAAAAH7/7Vk=")</f>
        <v>#REF!</v>
      </c>
      <c r="CM1" t="e">
        <f>AND(#REF!,"AAAAAH7/7Vo=")</f>
        <v>#REF!</v>
      </c>
      <c r="CN1" t="e">
        <f>AND(#REF!,"AAAAAH7/7Vs=")</f>
        <v>#REF!</v>
      </c>
      <c r="CO1" t="e">
        <f>AND(#REF!,"AAAAAH7/7Vw=")</f>
        <v>#REF!</v>
      </c>
      <c r="CP1" t="e">
        <f>AND(#REF!,"AAAAAH7/7V0=")</f>
        <v>#REF!</v>
      </c>
      <c r="CQ1" t="e">
        <f>AND(#REF!,"AAAAAH7/7V4=")</f>
        <v>#REF!</v>
      </c>
      <c r="CR1" t="e">
        <f>IF(#REF!,"AAAAAH7/7V8=",0)</f>
        <v>#REF!</v>
      </c>
      <c r="CS1" t="e">
        <f>AND(#REF!,"AAAAAH7/7WA=")</f>
        <v>#REF!</v>
      </c>
      <c r="CT1" t="e">
        <f>AND(#REF!,"AAAAAH7/7WE=")</f>
        <v>#REF!</v>
      </c>
      <c r="CU1" t="e">
        <f>AND(#REF!,"AAAAAH7/7WI=")</f>
        <v>#REF!</v>
      </c>
      <c r="CV1" t="e">
        <f>AND(#REF!,"AAAAAH7/7WM=")</f>
        <v>#REF!</v>
      </c>
      <c r="CW1" t="e">
        <f>AND(#REF!,"AAAAAH7/7WQ=")</f>
        <v>#REF!</v>
      </c>
      <c r="CX1" t="e">
        <f>AND(#REF!,"AAAAAH7/7WU=")</f>
        <v>#REF!</v>
      </c>
      <c r="CY1" t="e">
        <f>AND(#REF!,"AAAAAH7/7WY=")</f>
        <v>#REF!</v>
      </c>
      <c r="CZ1" t="e">
        <f>AND(#REF!,"AAAAAH7/7Wc=")</f>
        <v>#REF!</v>
      </c>
      <c r="DA1" t="e">
        <f>AND(#REF!,"AAAAAH7/7Wg=")</f>
        <v>#REF!</v>
      </c>
      <c r="DB1" t="e">
        <f>AND(#REF!,"AAAAAH7/7Wk=")</f>
        <v>#REF!</v>
      </c>
      <c r="DC1" t="e">
        <f>AND(#REF!,"AAAAAH7/7Wo=")</f>
        <v>#REF!</v>
      </c>
      <c r="DD1" t="e">
        <f>AND(#REF!,"AAAAAH7/7Ws=")</f>
        <v>#REF!</v>
      </c>
      <c r="DE1" t="e">
        <f>AND(#REF!,"AAAAAH7/7Ww=")</f>
        <v>#REF!</v>
      </c>
      <c r="DF1" t="e">
        <f>AND(#REF!,"AAAAAH7/7W0=")</f>
        <v>#REF!</v>
      </c>
      <c r="DG1" t="e">
        <f>AND(#REF!,"AAAAAH7/7W4=")</f>
        <v>#REF!</v>
      </c>
      <c r="DH1" t="e">
        <f>AND(#REF!,"AAAAAH7/7W8=")</f>
        <v>#REF!</v>
      </c>
      <c r="DI1" t="e">
        <f>AND(#REF!,"AAAAAH7/7XA=")</f>
        <v>#REF!</v>
      </c>
      <c r="DJ1" t="e">
        <f>AND(#REF!,"AAAAAH7/7XE=")</f>
        <v>#REF!</v>
      </c>
      <c r="DK1" t="e">
        <f>IF(#REF!,"AAAAAH7/7XI=",0)</f>
        <v>#REF!</v>
      </c>
      <c r="DL1" t="e">
        <f>AND(#REF!,"AAAAAH7/7XM=")</f>
        <v>#REF!</v>
      </c>
      <c r="DM1" t="e">
        <f>AND(#REF!,"AAAAAH7/7XQ=")</f>
        <v>#REF!</v>
      </c>
      <c r="DN1" t="e">
        <f>AND(#REF!,"AAAAAH7/7XU=")</f>
        <v>#REF!</v>
      </c>
      <c r="DO1" t="e">
        <f>AND(#REF!,"AAAAAH7/7XY=")</f>
        <v>#REF!</v>
      </c>
      <c r="DP1" t="e">
        <f>AND(#REF!,"AAAAAH7/7Xc=")</f>
        <v>#REF!</v>
      </c>
      <c r="DQ1" t="e">
        <f>AND(#REF!,"AAAAAH7/7Xg=")</f>
        <v>#REF!</v>
      </c>
      <c r="DR1" t="e">
        <f>AND(#REF!,"AAAAAH7/7Xk=")</f>
        <v>#REF!</v>
      </c>
      <c r="DS1" t="e">
        <f>AND(#REF!,"AAAAAH7/7Xo=")</f>
        <v>#REF!</v>
      </c>
      <c r="DT1" t="e">
        <f>AND(#REF!,"AAAAAH7/7Xs=")</f>
        <v>#REF!</v>
      </c>
      <c r="DU1" t="e">
        <f>AND(#REF!,"AAAAAH7/7Xw=")</f>
        <v>#REF!</v>
      </c>
      <c r="DV1" t="e">
        <f>AND(#REF!,"AAAAAH7/7X0=")</f>
        <v>#REF!</v>
      </c>
      <c r="DW1" t="e">
        <f>AND(#REF!,"AAAAAH7/7X4=")</f>
        <v>#REF!</v>
      </c>
      <c r="DX1" t="e">
        <f>AND(#REF!,"AAAAAH7/7X8=")</f>
        <v>#REF!</v>
      </c>
      <c r="DY1" t="e">
        <f>AND(#REF!,"AAAAAH7/7YA=")</f>
        <v>#REF!</v>
      </c>
      <c r="DZ1" t="e">
        <f>AND(#REF!,"AAAAAH7/7YE=")</f>
        <v>#REF!</v>
      </c>
      <c r="EA1" t="e">
        <f>AND(#REF!,"AAAAAH7/7YI=")</f>
        <v>#REF!</v>
      </c>
      <c r="EB1" t="e">
        <f>AND(#REF!,"AAAAAH7/7YM=")</f>
        <v>#REF!</v>
      </c>
      <c r="EC1" t="e">
        <f>AND(#REF!,"AAAAAH7/7YQ=")</f>
        <v>#REF!</v>
      </c>
      <c r="ED1" t="e">
        <f>IF(#REF!,"AAAAAH7/7YU=",0)</f>
        <v>#REF!</v>
      </c>
      <c r="EE1" t="e">
        <f>AND(#REF!,"AAAAAH7/7YY=")</f>
        <v>#REF!</v>
      </c>
      <c r="EF1" t="e">
        <f>AND(#REF!,"AAAAAH7/7Yc=")</f>
        <v>#REF!</v>
      </c>
      <c r="EG1" t="e">
        <f>AND(#REF!,"AAAAAH7/7Yg=")</f>
        <v>#REF!</v>
      </c>
      <c r="EH1" t="e">
        <f>AND(#REF!,"AAAAAH7/7Yk=")</f>
        <v>#REF!</v>
      </c>
      <c r="EI1" t="e">
        <f>AND(#REF!,"AAAAAH7/7Yo=")</f>
        <v>#REF!</v>
      </c>
      <c r="EJ1" t="e">
        <f>AND(#REF!,"AAAAAH7/7Ys=")</f>
        <v>#REF!</v>
      </c>
      <c r="EK1" t="e">
        <f>AND(#REF!,"AAAAAH7/7Yw=")</f>
        <v>#REF!</v>
      </c>
      <c r="EL1" t="e">
        <f>AND(#REF!,"AAAAAH7/7Y0=")</f>
        <v>#REF!</v>
      </c>
      <c r="EM1" t="e">
        <f>AND(#REF!,"AAAAAH7/7Y4=")</f>
        <v>#REF!</v>
      </c>
      <c r="EN1" t="e">
        <f>AND(#REF!,"AAAAAH7/7Y8=")</f>
        <v>#REF!</v>
      </c>
      <c r="EO1" t="e">
        <f>AND(#REF!,"AAAAAH7/7ZA=")</f>
        <v>#REF!</v>
      </c>
      <c r="EP1" t="e">
        <f>AND(#REF!,"AAAAAH7/7ZE=")</f>
        <v>#REF!</v>
      </c>
      <c r="EQ1" t="e">
        <f>AND(#REF!,"AAAAAH7/7ZI=")</f>
        <v>#REF!</v>
      </c>
      <c r="ER1" t="e">
        <f>AND(#REF!,"AAAAAH7/7ZM=")</f>
        <v>#REF!</v>
      </c>
      <c r="ES1" t="e">
        <f>AND(#REF!,"AAAAAH7/7ZQ=")</f>
        <v>#REF!</v>
      </c>
      <c r="ET1" t="e">
        <f>AND(#REF!,"AAAAAH7/7ZU=")</f>
        <v>#REF!</v>
      </c>
      <c r="EU1" t="e">
        <f>AND(#REF!,"AAAAAH7/7ZY=")</f>
        <v>#REF!</v>
      </c>
      <c r="EV1" t="e">
        <f>AND(#REF!,"AAAAAH7/7Zc=")</f>
        <v>#REF!</v>
      </c>
      <c r="EW1" t="e">
        <f>IF(#REF!,"AAAAAH7/7Zg=",0)</f>
        <v>#REF!</v>
      </c>
      <c r="EX1" t="e">
        <f>AND(#REF!,"AAAAAH7/7Zk=")</f>
        <v>#REF!</v>
      </c>
      <c r="EY1" t="e">
        <f>AND(#REF!,"AAAAAH7/7Zo=")</f>
        <v>#REF!</v>
      </c>
      <c r="EZ1" t="e">
        <f>AND(#REF!,"AAAAAH7/7Zs=")</f>
        <v>#REF!</v>
      </c>
      <c r="FA1" t="e">
        <f>AND(#REF!,"AAAAAH7/7Zw=")</f>
        <v>#REF!</v>
      </c>
      <c r="FB1" t="e">
        <f>AND(#REF!,"AAAAAH7/7Z0=")</f>
        <v>#REF!</v>
      </c>
      <c r="FC1" t="e">
        <f>AND(#REF!,"AAAAAH7/7Z4=")</f>
        <v>#REF!</v>
      </c>
      <c r="FD1" t="e">
        <f>AND(#REF!,"AAAAAH7/7Z8=")</f>
        <v>#REF!</v>
      </c>
      <c r="FE1" t="e">
        <f>AND(#REF!,"AAAAAH7/7aA=")</f>
        <v>#REF!</v>
      </c>
      <c r="FF1" t="e">
        <f>AND(#REF!,"AAAAAH7/7aE=")</f>
        <v>#REF!</v>
      </c>
      <c r="FG1" t="e">
        <f>AND(#REF!,"AAAAAH7/7aI=")</f>
        <v>#REF!</v>
      </c>
      <c r="FH1" t="e">
        <f>AND(#REF!,"AAAAAH7/7aM=")</f>
        <v>#REF!</v>
      </c>
      <c r="FI1" t="e">
        <f>AND(#REF!,"AAAAAH7/7aQ=")</f>
        <v>#REF!</v>
      </c>
      <c r="FJ1" t="e">
        <f>AND(#REF!,"AAAAAH7/7aU=")</f>
        <v>#REF!</v>
      </c>
      <c r="FK1" t="e">
        <f>AND(#REF!,"AAAAAH7/7aY=")</f>
        <v>#REF!</v>
      </c>
      <c r="FL1" t="e">
        <f>AND(#REF!,"AAAAAH7/7ac=")</f>
        <v>#REF!</v>
      </c>
      <c r="FM1" t="e">
        <f>AND(#REF!,"AAAAAH7/7ag=")</f>
        <v>#REF!</v>
      </c>
      <c r="FN1" t="e">
        <f>AND(#REF!,"AAAAAH7/7ak=")</f>
        <v>#REF!</v>
      </c>
      <c r="FO1" t="e">
        <f>AND(#REF!,"AAAAAH7/7ao=")</f>
        <v>#REF!</v>
      </c>
      <c r="FP1" t="e">
        <f>IF(#REF!,"AAAAAH7/7as=",0)</f>
        <v>#REF!</v>
      </c>
      <c r="FQ1" t="e">
        <f>AND(#REF!,"AAAAAH7/7aw=")</f>
        <v>#REF!</v>
      </c>
      <c r="FR1" t="e">
        <f>AND(#REF!,"AAAAAH7/7a0=")</f>
        <v>#REF!</v>
      </c>
      <c r="FS1" t="e">
        <f>AND(#REF!,"AAAAAH7/7a4=")</f>
        <v>#REF!</v>
      </c>
      <c r="FT1" t="e">
        <f>AND(#REF!,"AAAAAH7/7a8=")</f>
        <v>#REF!</v>
      </c>
      <c r="FU1" t="e">
        <f>AND(#REF!,"AAAAAH7/7bA=")</f>
        <v>#REF!</v>
      </c>
      <c r="FV1" t="e">
        <f>AND(#REF!,"AAAAAH7/7bE=")</f>
        <v>#REF!</v>
      </c>
      <c r="FW1" t="e">
        <f>AND(#REF!,"AAAAAH7/7bI=")</f>
        <v>#REF!</v>
      </c>
      <c r="FX1" t="e">
        <f>AND(#REF!,"AAAAAH7/7bM=")</f>
        <v>#REF!</v>
      </c>
      <c r="FY1" t="e">
        <f>AND(#REF!,"AAAAAH7/7bQ=")</f>
        <v>#REF!</v>
      </c>
      <c r="FZ1" t="e">
        <f>AND(#REF!,"AAAAAH7/7bU=")</f>
        <v>#REF!</v>
      </c>
      <c r="GA1" t="e">
        <f>AND(#REF!,"AAAAAH7/7bY=")</f>
        <v>#REF!</v>
      </c>
      <c r="GB1" t="e">
        <f>AND(#REF!,"AAAAAH7/7bc=")</f>
        <v>#REF!</v>
      </c>
      <c r="GC1" t="e">
        <f>AND(#REF!,"AAAAAH7/7bg=")</f>
        <v>#REF!</v>
      </c>
      <c r="GD1" t="e">
        <f>AND(#REF!,"AAAAAH7/7bk=")</f>
        <v>#REF!</v>
      </c>
      <c r="GE1" t="e">
        <f>AND(#REF!,"AAAAAH7/7bo=")</f>
        <v>#REF!</v>
      </c>
      <c r="GF1" t="e">
        <f>AND(#REF!,"AAAAAH7/7bs=")</f>
        <v>#REF!</v>
      </c>
      <c r="GG1" t="e">
        <f>AND(#REF!,"AAAAAH7/7bw=")</f>
        <v>#REF!</v>
      </c>
      <c r="GH1" t="e">
        <f>AND(#REF!,"AAAAAH7/7b0=")</f>
        <v>#REF!</v>
      </c>
      <c r="GI1" t="e">
        <f>IF(#REF!,"AAAAAH7/7b4=",0)</f>
        <v>#REF!</v>
      </c>
      <c r="GJ1" t="e">
        <f>AND(#REF!,"AAAAAH7/7b8=")</f>
        <v>#REF!</v>
      </c>
      <c r="GK1" t="e">
        <f>AND(#REF!,"AAAAAH7/7cA=")</f>
        <v>#REF!</v>
      </c>
      <c r="GL1" t="e">
        <f>AND(#REF!,"AAAAAH7/7cE=")</f>
        <v>#REF!</v>
      </c>
      <c r="GM1" t="e">
        <f>AND(#REF!,"AAAAAH7/7cI=")</f>
        <v>#REF!</v>
      </c>
      <c r="GN1" t="e">
        <f>AND(#REF!,"AAAAAH7/7cM=")</f>
        <v>#REF!</v>
      </c>
      <c r="GO1" t="e">
        <f>AND(#REF!,"AAAAAH7/7cQ=")</f>
        <v>#REF!</v>
      </c>
      <c r="GP1" t="e">
        <f>AND(#REF!,"AAAAAH7/7cU=")</f>
        <v>#REF!</v>
      </c>
      <c r="GQ1" t="e">
        <f>AND(#REF!,"AAAAAH7/7cY=")</f>
        <v>#REF!</v>
      </c>
      <c r="GR1" t="e">
        <f>AND(#REF!,"AAAAAH7/7cc=")</f>
        <v>#REF!</v>
      </c>
      <c r="GS1" t="e">
        <f>AND(#REF!,"AAAAAH7/7cg=")</f>
        <v>#REF!</v>
      </c>
      <c r="GT1" t="e">
        <f>AND(#REF!,"AAAAAH7/7ck=")</f>
        <v>#REF!</v>
      </c>
      <c r="GU1" t="e">
        <f>AND(#REF!,"AAAAAH7/7co=")</f>
        <v>#REF!</v>
      </c>
      <c r="GV1" t="e">
        <f>AND(#REF!,"AAAAAH7/7cs=")</f>
        <v>#REF!</v>
      </c>
      <c r="GW1" t="e">
        <f>AND(#REF!,"AAAAAH7/7cw=")</f>
        <v>#REF!</v>
      </c>
      <c r="GX1" t="e">
        <f>AND(#REF!,"AAAAAH7/7c0=")</f>
        <v>#REF!</v>
      </c>
      <c r="GY1" t="e">
        <f>AND(#REF!,"AAAAAH7/7c4=")</f>
        <v>#REF!</v>
      </c>
      <c r="GZ1" t="e">
        <f>AND(#REF!,"AAAAAH7/7c8=")</f>
        <v>#REF!</v>
      </c>
      <c r="HA1" t="e">
        <f>AND(#REF!,"AAAAAH7/7dA=")</f>
        <v>#REF!</v>
      </c>
      <c r="HB1" t="e">
        <f>IF(#REF!,"AAAAAH7/7dE=",0)</f>
        <v>#REF!</v>
      </c>
      <c r="HC1" t="e">
        <f>AND(#REF!,"AAAAAH7/7dI=")</f>
        <v>#REF!</v>
      </c>
      <c r="HD1" t="e">
        <f>AND(#REF!,"AAAAAH7/7dM=")</f>
        <v>#REF!</v>
      </c>
      <c r="HE1" t="e">
        <f>AND(#REF!,"AAAAAH7/7dQ=")</f>
        <v>#REF!</v>
      </c>
      <c r="HF1" t="e">
        <f>AND(#REF!,"AAAAAH7/7dU=")</f>
        <v>#REF!</v>
      </c>
      <c r="HG1" t="e">
        <f>AND(#REF!,"AAAAAH7/7dY=")</f>
        <v>#REF!</v>
      </c>
      <c r="HH1" t="e">
        <f>AND(#REF!,"AAAAAH7/7dc=")</f>
        <v>#REF!</v>
      </c>
      <c r="HI1" t="e">
        <f>AND(#REF!,"AAAAAH7/7dg=")</f>
        <v>#REF!</v>
      </c>
      <c r="HJ1" t="e">
        <f>AND(#REF!,"AAAAAH7/7dk=")</f>
        <v>#REF!</v>
      </c>
      <c r="HK1" t="e">
        <f>AND(#REF!,"AAAAAH7/7do=")</f>
        <v>#REF!</v>
      </c>
      <c r="HL1" t="e">
        <f>AND(#REF!,"AAAAAH7/7ds=")</f>
        <v>#REF!</v>
      </c>
      <c r="HM1" t="e">
        <f>AND(#REF!,"AAAAAH7/7dw=")</f>
        <v>#REF!</v>
      </c>
      <c r="HN1" t="e">
        <f>AND(#REF!,"AAAAAH7/7d0=")</f>
        <v>#REF!</v>
      </c>
      <c r="HO1" t="e">
        <f>AND(#REF!,"AAAAAH7/7d4=")</f>
        <v>#REF!</v>
      </c>
      <c r="HP1" t="e">
        <f>AND(#REF!,"AAAAAH7/7d8=")</f>
        <v>#REF!</v>
      </c>
      <c r="HQ1" t="e">
        <f>AND(#REF!,"AAAAAH7/7eA=")</f>
        <v>#REF!</v>
      </c>
      <c r="HR1" t="e">
        <f>AND(#REF!,"AAAAAH7/7eE=")</f>
        <v>#REF!</v>
      </c>
      <c r="HS1" t="e">
        <f>AND(#REF!,"AAAAAH7/7eI=")</f>
        <v>#REF!</v>
      </c>
      <c r="HT1" t="e">
        <f>AND(#REF!,"AAAAAH7/7eM=")</f>
        <v>#REF!</v>
      </c>
      <c r="HU1" t="e">
        <f>IF(#REF!,"AAAAAH7/7eQ=",0)</f>
        <v>#REF!</v>
      </c>
      <c r="HV1" t="e">
        <f>AND(#REF!,"AAAAAH7/7eU=")</f>
        <v>#REF!</v>
      </c>
      <c r="HW1" t="e">
        <f>AND(#REF!,"AAAAAH7/7eY=")</f>
        <v>#REF!</v>
      </c>
      <c r="HX1" t="e">
        <f>AND(#REF!,"AAAAAH7/7ec=")</f>
        <v>#REF!</v>
      </c>
      <c r="HY1" t="e">
        <f>AND(#REF!,"AAAAAH7/7eg=")</f>
        <v>#REF!</v>
      </c>
      <c r="HZ1" t="e">
        <f>AND(#REF!,"AAAAAH7/7ek=")</f>
        <v>#REF!</v>
      </c>
      <c r="IA1" t="e">
        <f>AND(#REF!,"AAAAAH7/7eo=")</f>
        <v>#REF!</v>
      </c>
      <c r="IB1" t="e">
        <f>AND(#REF!,"AAAAAH7/7es=")</f>
        <v>#REF!</v>
      </c>
      <c r="IC1" t="e">
        <f>AND(#REF!,"AAAAAH7/7ew=")</f>
        <v>#REF!</v>
      </c>
      <c r="ID1" t="e">
        <f>AND(#REF!,"AAAAAH7/7e0=")</f>
        <v>#REF!</v>
      </c>
      <c r="IE1" t="e">
        <f>AND(#REF!,"AAAAAH7/7e4=")</f>
        <v>#REF!</v>
      </c>
      <c r="IF1" t="e">
        <f>AND(#REF!,"AAAAAH7/7e8=")</f>
        <v>#REF!</v>
      </c>
      <c r="IG1" t="e">
        <f>AND(#REF!,"AAAAAH7/7fA=")</f>
        <v>#REF!</v>
      </c>
      <c r="IH1" t="e">
        <f>AND(#REF!,"AAAAAH7/7fE=")</f>
        <v>#REF!</v>
      </c>
      <c r="II1" t="e">
        <f>AND(#REF!,"AAAAAH7/7fI=")</f>
        <v>#REF!</v>
      </c>
      <c r="IJ1" t="e">
        <f>AND(#REF!,"AAAAAH7/7fM=")</f>
        <v>#REF!</v>
      </c>
      <c r="IK1" t="e">
        <f>AND(#REF!,"AAAAAH7/7fQ=")</f>
        <v>#REF!</v>
      </c>
      <c r="IL1" t="e">
        <f>AND(#REF!,"AAAAAH7/7fU=")</f>
        <v>#REF!</v>
      </c>
      <c r="IM1" t="e">
        <f>AND(#REF!,"AAAAAH7/7fY=")</f>
        <v>#REF!</v>
      </c>
      <c r="IN1" t="e">
        <f>IF(#REF!,"AAAAAH7/7fc=",0)</f>
        <v>#REF!</v>
      </c>
      <c r="IO1" t="e">
        <f>AND(#REF!,"AAAAAH7/7fg=")</f>
        <v>#REF!</v>
      </c>
      <c r="IP1" t="e">
        <f>AND(#REF!,"AAAAAH7/7fk=")</f>
        <v>#REF!</v>
      </c>
      <c r="IQ1" t="e">
        <f>AND(#REF!,"AAAAAH7/7fo=")</f>
        <v>#REF!</v>
      </c>
      <c r="IR1" t="e">
        <f>AND(#REF!,"AAAAAH7/7fs=")</f>
        <v>#REF!</v>
      </c>
      <c r="IS1" t="e">
        <f>AND(#REF!,"AAAAAH7/7fw=")</f>
        <v>#REF!</v>
      </c>
      <c r="IT1" t="e">
        <f>AND(#REF!,"AAAAAH7/7f0=")</f>
        <v>#REF!</v>
      </c>
      <c r="IU1" t="e">
        <f>AND(#REF!,"AAAAAH7/7f4=")</f>
        <v>#REF!</v>
      </c>
      <c r="IV1" t="e">
        <f>AND(#REF!,"AAAAAH7/7f8=")</f>
        <v>#REF!</v>
      </c>
    </row>
    <row r="2" spans="1:256">
      <c r="A2" t="e">
        <f>AND(#REF!,"AAAAAF3X9wA=")</f>
        <v>#REF!</v>
      </c>
      <c r="B2" t="e">
        <f>AND(#REF!,"AAAAAF3X9wE=")</f>
        <v>#REF!</v>
      </c>
      <c r="C2" t="e">
        <f>AND(#REF!,"AAAAAF3X9wI=")</f>
        <v>#REF!</v>
      </c>
      <c r="D2" t="e">
        <f>AND(#REF!,"AAAAAF3X9wM=")</f>
        <v>#REF!</v>
      </c>
      <c r="E2" t="e">
        <f>AND(#REF!,"AAAAAF3X9wQ=")</f>
        <v>#REF!</v>
      </c>
      <c r="F2" t="e">
        <f>AND(#REF!,"AAAAAF3X9wU=")</f>
        <v>#REF!</v>
      </c>
      <c r="G2" t="e">
        <f>AND(#REF!,"AAAAAF3X9wY=")</f>
        <v>#REF!</v>
      </c>
      <c r="H2" t="e">
        <f>AND(#REF!,"AAAAAF3X9wc=")</f>
        <v>#REF!</v>
      </c>
      <c r="I2" t="e">
        <f>AND(#REF!,"AAAAAF3X9wg=")</f>
        <v>#REF!</v>
      </c>
      <c r="J2" t="e">
        <f>AND(#REF!,"AAAAAF3X9wk=")</f>
        <v>#REF!</v>
      </c>
      <c r="K2" t="e">
        <f>IF(#REF!,"AAAAAF3X9wo=",0)</f>
        <v>#REF!</v>
      </c>
      <c r="L2" t="e">
        <f>AND(#REF!,"AAAAAF3X9ws=")</f>
        <v>#REF!</v>
      </c>
      <c r="M2" t="e">
        <f>AND(#REF!,"AAAAAF3X9ww=")</f>
        <v>#REF!</v>
      </c>
      <c r="N2" t="e">
        <f>AND(#REF!,"AAAAAF3X9w0=")</f>
        <v>#REF!</v>
      </c>
      <c r="O2" t="e">
        <f>AND(#REF!,"AAAAAF3X9w4=")</f>
        <v>#REF!</v>
      </c>
      <c r="P2" t="e">
        <f>AND(#REF!,"AAAAAF3X9w8=")</f>
        <v>#REF!</v>
      </c>
      <c r="Q2" t="e">
        <f>AND(#REF!,"AAAAAF3X9xA=")</f>
        <v>#REF!</v>
      </c>
      <c r="R2" t="e">
        <f>AND(#REF!,"AAAAAF3X9xE=")</f>
        <v>#REF!</v>
      </c>
      <c r="S2" t="e">
        <f>AND(#REF!,"AAAAAF3X9xI=")</f>
        <v>#REF!</v>
      </c>
      <c r="T2" t="e">
        <f>AND(#REF!,"AAAAAF3X9xM=")</f>
        <v>#REF!</v>
      </c>
      <c r="U2" t="e">
        <f>AND(#REF!,"AAAAAF3X9xQ=")</f>
        <v>#REF!</v>
      </c>
      <c r="V2" t="e">
        <f>AND(#REF!,"AAAAAF3X9xU=")</f>
        <v>#REF!</v>
      </c>
      <c r="W2" t="e">
        <f>AND(#REF!,"AAAAAF3X9xY=")</f>
        <v>#REF!</v>
      </c>
      <c r="X2" t="e">
        <f>AND(#REF!,"AAAAAF3X9xc=")</f>
        <v>#REF!</v>
      </c>
      <c r="Y2" t="e">
        <f>AND(#REF!,"AAAAAF3X9xg=")</f>
        <v>#REF!</v>
      </c>
      <c r="Z2" t="e">
        <f>AND(#REF!,"AAAAAF3X9xk=")</f>
        <v>#REF!</v>
      </c>
      <c r="AA2" t="e">
        <f>AND(#REF!,"AAAAAF3X9xo=")</f>
        <v>#REF!</v>
      </c>
      <c r="AB2" t="e">
        <f>AND(#REF!,"AAAAAF3X9xs=")</f>
        <v>#REF!</v>
      </c>
      <c r="AC2" t="e">
        <f>AND(#REF!,"AAAAAF3X9xw=")</f>
        <v>#REF!</v>
      </c>
      <c r="AD2" t="e">
        <f>IF(#REF!,"AAAAAF3X9x0=",0)</f>
        <v>#REF!</v>
      </c>
      <c r="AE2" t="e">
        <f>AND(#REF!,"AAAAAF3X9x4=")</f>
        <v>#REF!</v>
      </c>
      <c r="AF2" t="e">
        <f>AND(#REF!,"AAAAAF3X9x8=")</f>
        <v>#REF!</v>
      </c>
      <c r="AG2" t="e">
        <f>AND(#REF!,"AAAAAF3X9yA=")</f>
        <v>#REF!</v>
      </c>
      <c r="AH2" t="e">
        <f>AND(#REF!,"AAAAAF3X9yE=")</f>
        <v>#REF!</v>
      </c>
      <c r="AI2" t="e">
        <f>AND(#REF!,"AAAAAF3X9yI=")</f>
        <v>#REF!</v>
      </c>
      <c r="AJ2" t="e">
        <f>AND(#REF!,"AAAAAF3X9yM=")</f>
        <v>#REF!</v>
      </c>
      <c r="AK2" t="e">
        <f>AND(#REF!,"AAAAAF3X9yQ=")</f>
        <v>#REF!</v>
      </c>
      <c r="AL2" t="e">
        <f>AND(#REF!,"AAAAAF3X9yU=")</f>
        <v>#REF!</v>
      </c>
      <c r="AM2" t="e">
        <f>AND(#REF!,"AAAAAF3X9yY=")</f>
        <v>#REF!</v>
      </c>
      <c r="AN2" t="e">
        <f>AND(#REF!,"AAAAAF3X9yc=")</f>
        <v>#REF!</v>
      </c>
      <c r="AO2" t="e">
        <f>AND(#REF!,"AAAAAF3X9yg=")</f>
        <v>#REF!</v>
      </c>
      <c r="AP2" t="e">
        <f>AND(#REF!,"AAAAAF3X9yk=")</f>
        <v>#REF!</v>
      </c>
      <c r="AQ2" t="e">
        <f>AND(#REF!,"AAAAAF3X9yo=")</f>
        <v>#REF!</v>
      </c>
      <c r="AR2" t="e">
        <f>AND(#REF!,"AAAAAF3X9ys=")</f>
        <v>#REF!</v>
      </c>
      <c r="AS2" t="e">
        <f>AND(#REF!,"AAAAAF3X9yw=")</f>
        <v>#REF!</v>
      </c>
      <c r="AT2" t="e">
        <f>AND(#REF!,"AAAAAF3X9y0=")</f>
        <v>#REF!</v>
      </c>
      <c r="AU2" t="e">
        <f>AND(#REF!,"AAAAAF3X9y4=")</f>
        <v>#REF!</v>
      </c>
      <c r="AV2" t="e">
        <f>AND(#REF!,"AAAAAF3X9y8=")</f>
        <v>#REF!</v>
      </c>
      <c r="AW2" t="e">
        <f>IF(#REF!,"AAAAAF3X9zA=",0)</f>
        <v>#REF!</v>
      </c>
      <c r="AX2" t="e">
        <f>AND(#REF!,"AAAAAF3X9zE=")</f>
        <v>#REF!</v>
      </c>
      <c r="AY2" t="e">
        <f>AND(#REF!,"AAAAAF3X9zI=")</f>
        <v>#REF!</v>
      </c>
      <c r="AZ2" t="e">
        <f>AND(#REF!,"AAAAAF3X9zM=")</f>
        <v>#REF!</v>
      </c>
      <c r="BA2" t="e">
        <f>AND(#REF!,"AAAAAF3X9zQ=")</f>
        <v>#REF!</v>
      </c>
      <c r="BB2" t="e">
        <f>AND(#REF!,"AAAAAF3X9zU=")</f>
        <v>#REF!</v>
      </c>
      <c r="BC2" t="e">
        <f>AND(#REF!,"AAAAAF3X9zY=")</f>
        <v>#REF!</v>
      </c>
      <c r="BD2" t="e">
        <f>AND(#REF!,"AAAAAF3X9zc=")</f>
        <v>#REF!</v>
      </c>
      <c r="BE2" t="e">
        <f>AND(#REF!,"AAAAAF3X9zg=")</f>
        <v>#REF!</v>
      </c>
      <c r="BF2" t="e">
        <f>AND(#REF!,"AAAAAF3X9zk=")</f>
        <v>#REF!</v>
      </c>
      <c r="BG2" t="e">
        <f>AND(#REF!,"AAAAAF3X9zo=")</f>
        <v>#REF!</v>
      </c>
      <c r="BH2" t="e">
        <f>AND(#REF!,"AAAAAF3X9zs=")</f>
        <v>#REF!</v>
      </c>
      <c r="BI2" t="e">
        <f>AND(#REF!,"AAAAAF3X9zw=")</f>
        <v>#REF!</v>
      </c>
      <c r="BJ2" t="e">
        <f>AND(#REF!,"AAAAAF3X9z0=")</f>
        <v>#REF!</v>
      </c>
      <c r="BK2" t="e">
        <f>AND(#REF!,"AAAAAF3X9z4=")</f>
        <v>#REF!</v>
      </c>
      <c r="BL2" t="e">
        <f>AND(#REF!,"AAAAAF3X9z8=")</f>
        <v>#REF!</v>
      </c>
      <c r="BM2" t="e">
        <f>AND(#REF!,"AAAAAF3X90A=")</f>
        <v>#REF!</v>
      </c>
      <c r="BN2" t="e">
        <f>AND(#REF!,"AAAAAF3X90E=")</f>
        <v>#REF!</v>
      </c>
      <c r="BO2" t="e">
        <f>AND(#REF!,"AAAAAF3X90I=")</f>
        <v>#REF!</v>
      </c>
      <c r="BP2" t="e">
        <f>IF(#REF!,"AAAAAF3X90M=",0)</f>
        <v>#REF!</v>
      </c>
      <c r="BQ2" t="e">
        <f>AND(#REF!,"AAAAAF3X90Q=")</f>
        <v>#REF!</v>
      </c>
      <c r="BR2" t="e">
        <f>AND(#REF!,"AAAAAF3X90U=")</f>
        <v>#REF!</v>
      </c>
      <c r="BS2" t="e">
        <f>AND(#REF!,"AAAAAF3X90Y=")</f>
        <v>#REF!</v>
      </c>
      <c r="BT2" t="e">
        <f>AND(#REF!,"AAAAAF3X90c=")</f>
        <v>#REF!</v>
      </c>
      <c r="BU2" t="e">
        <f>AND(#REF!,"AAAAAF3X90g=")</f>
        <v>#REF!</v>
      </c>
      <c r="BV2" t="e">
        <f>AND(#REF!,"AAAAAF3X90k=")</f>
        <v>#REF!</v>
      </c>
      <c r="BW2" t="e">
        <f>AND(#REF!,"AAAAAF3X90o=")</f>
        <v>#REF!</v>
      </c>
      <c r="BX2" t="e">
        <f>AND(#REF!,"AAAAAF3X90s=")</f>
        <v>#REF!</v>
      </c>
      <c r="BY2" t="e">
        <f>AND(#REF!,"AAAAAF3X90w=")</f>
        <v>#REF!</v>
      </c>
      <c r="BZ2" t="e">
        <f>AND(#REF!,"AAAAAF3X900=")</f>
        <v>#REF!</v>
      </c>
      <c r="CA2" t="e">
        <f>AND(#REF!,"AAAAAF3X904=")</f>
        <v>#REF!</v>
      </c>
      <c r="CB2" t="e">
        <f>AND(#REF!,"AAAAAF3X908=")</f>
        <v>#REF!</v>
      </c>
      <c r="CC2" t="e">
        <f>AND(#REF!,"AAAAAF3X91A=")</f>
        <v>#REF!</v>
      </c>
      <c r="CD2" t="e">
        <f>AND(#REF!,"AAAAAF3X91E=")</f>
        <v>#REF!</v>
      </c>
      <c r="CE2" t="e">
        <f>AND(#REF!,"AAAAAF3X91I=")</f>
        <v>#REF!</v>
      </c>
      <c r="CF2" t="e">
        <f>AND(#REF!,"AAAAAF3X91M=")</f>
        <v>#REF!</v>
      </c>
      <c r="CG2" t="e">
        <f>AND(#REF!,"AAAAAF3X91Q=")</f>
        <v>#REF!</v>
      </c>
      <c r="CH2" t="e">
        <f>AND(#REF!,"AAAAAF3X91U=")</f>
        <v>#REF!</v>
      </c>
      <c r="CI2" t="e">
        <f>IF(#REF!,"AAAAAF3X91Y=",0)</f>
        <v>#REF!</v>
      </c>
      <c r="CJ2" t="e">
        <f>AND(#REF!,"AAAAAF3X91c=")</f>
        <v>#REF!</v>
      </c>
      <c r="CK2" t="e">
        <f>AND(#REF!,"AAAAAF3X91g=")</f>
        <v>#REF!</v>
      </c>
      <c r="CL2" t="e">
        <f>AND(#REF!,"AAAAAF3X91k=")</f>
        <v>#REF!</v>
      </c>
      <c r="CM2" t="e">
        <f>AND(#REF!,"AAAAAF3X91o=")</f>
        <v>#REF!</v>
      </c>
      <c r="CN2" t="e">
        <f>AND(#REF!,"AAAAAF3X91s=")</f>
        <v>#REF!</v>
      </c>
      <c r="CO2" t="e">
        <f>AND(#REF!,"AAAAAF3X91w=")</f>
        <v>#REF!</v>
      </c>
      <c r="CP2" t="e">
        <f>AND(#REF!,"AAAAAF3X910=")</f>
        <v>#REF!</v>
      </c>
      <c r="CQ2" t="e">
        <f>AND(#REF!,"AAAAAF3X914=")</f>
        <v>#REF!</v>
      </c>
      <c r="CR2" t="e">
        <f>AND(#REF!,"AAAAAF3X918=")</f>
        <v>#REF!</v>
      </c>
      <c r="CS2" t="e">
        <f>AND(#REF!,"AAAAAF3X92A=")</f>
        <v>#REF!</v>
      </c>
      <c r="CT2" t="e">
        <f>AND(#REF!,"AAAAAF3X92E=")</f>
        <v>#REF!</v>
      </c>
      <c r="CU2" t="e">
        <f>AND(#REF!,"AAAAAF3X92I=")</f>
        <v>#REF!</v>
      </c>
      <c r="CV2" t="e">
        <f>AND(#REF!,"AAAAAF3X92M=")</f>
        <v>#REF!</v>
      </c>
      <c r="CW2" t="e">
        <f>AND(#REF!,"AAAAAF3X92Q=")</f>
        <v>#REF!</v>
      </c>
      <c r="CX2" t="e">
        <f>AND(#REF!,"AAAAAF3X92U=")</f>
        <v>#REF!</v>
      </c>
      <c r="CY2" t="e">
        <f>AND(#REF!,"AAAAAF3X92Y=")</f>
        <v>#REF!</v>
      </c>
      <c r="CZ2" t="e">
        <f>AND(#REF!,"AAAAAF3X92c=")</f>
        <v>#REF!</v>
      </c>
      <c r="DA2" t="e">
        <f>AND(#REF!,"AAAAAF3X92g=")</f>
        <v>#REF!</v>
      </c>
      <c r="DB2" t="e">
        <f>IF(#REF!,"AAAAAF3X92k=",0)</f>
        <v>#REF!</v>
      </c>
      <c r="DC2" t="e">
        <f>AND(#REF!,"AAAAAF3X92o=")</f>
        <v>#REF!</v>
      </c>
      <c r="DD2" t="e">
        <f>AND(#REF!,"AAAAAF3X92s=")</f>
        <v>#REF!</v>
      </c>
      <c r="DE2" t="e">
        <f>AND(#REF!,"AAAAAF3X92w=")</f>
        <v>#REF!</v>
      </c>
      <c r="DF2" t="e">
        <f>AND(#REF!,"AAAAAF3X920=")</f>
        <v>#REF!</v>
      </c>
      <c r="DG2" t="e">
        <f>AND(#REF!,"AAAAAF3X924=")</f>
        <v>#REF!</v>
      </c>
      <c r="DH2" t="e">
        <f>AND(#REF!,"AAAAAF3X928=")</f>
        <v>#REF!</v>
      </c>
      <c r="DI2" t="e">
        <f>AND(#REF!,"AAAAAF3X93A=")</f>
        <v>#REF!</v>
      </c>
      <c r="DJ2" t="e">
        <f>AND(#REF!,"AAAAAF3X93E=")</f>
        <v>#REF!</v>
      </c>
      <c r="DK2" t="e">
        <f>AND(#REF!,"AAAAAF3X93I=")</f>
        <v>#REF!</v>
      </c>
      <c r="DL2" t="e">
        <f>AND(#REF!,"AAAAAF3X93M=")</f>
        <v>#REF!</v>
      </c>
      <c r="DM2" t="e">
        <f>AND(#REF!,"AAAAAF3X93Q=")</f>
        <v>#REF!</v>
      </c>
      <c r="DN2" t="e">
        <f>AND(#REF!,"AAAAAF3X93U=")</f>
        <v>#REF!</v>
      </c>
      <c r="DO2" t="e">
        <f>AND(#REF!,"AAAAAF3X93Y=")</f>
        <v>#REF!</v>
      </c>
      <c r="DP2" t="e">
        <f>AND(#REF!,"AAAAAF3X93c=")</f>
        <v>#REF!</v>
      </c>
      <c r="DQ2" t="e">
        <f>AND(#REF!,"AAAAAF3X93g=")</f>
        <v>#REF!</v>
      </c>
      <c r="DR2" t="e">
        <f>AND(#REF!,"AAAAAF3X93k=")</f>
        <v>#REF!</v>
      </c>
      <c r="DS2" t="e">
        <f>AND(#REF!,"AAAAAF3X93o=")</f>
        <v>#REF!</v>
      </c>
      <c r="DT2" t="e">
        <f>AND(#REF!,"AAAAAF3X93s=")</f>
        <v>#REF!</v>
      </c>
      <c r="DU2" t="e">
        <f>IF(#REF!,"AAAAAF3X93w=",0)</f>
        <v>#REF!</v>
      </c>
      <c r="DV2" t="e">
        <f>AND(#REF!,"AAAAAF3X930=")</f>
        <v>#REF!</v>
      </c>
      <c r="DW2" t="e">
        <f>AND(#REF!,"AAAAAF3X934=")</f>
        <v>#REF!</v>
      </c>
      <c r="DX2" t="e">
        <f>AND(#REF!,"AAAAAF3X938=")</f>
        <v>#REF!</v>
      </c>
      <c r="DY2" t="e">
        <f>AND(#REF!,"AAAAAF3X94A=")</f>
        <v>#REF!</v>
      </c>
      <c r="DZ2" t="e">
        <f>AND(#REF!,"AAAAAF3X94E=")</f>
        <v>#REF!</v>
      </c>
      <c r="EA2" t="e">
        <f>AND(#REF!,"AAAAAF3X94I=")</f>
        <v>#REF!</v>
      </c>
      <c r="EB2" t="e">
        <f>AND(#REF!,"AAAAAF3X94M=")</f>
        <v>#REF!</v>
      </c>
      <c r="EC2" t="e">
        <f>AND(#REF!,"AAAAAF3X94Q=")</f>
        <v>#REF!</v>
      </c>
      <c r="ED2" t="e">
        <f>AND(#REF!,"AAAAAF3X94U=")</f>
        <v>#REF!</v>
      </c>
      <c r="EE2" t="e">
        <f>AND(#REF!,"AAAAAF3X94Y=")</f>
        <v>#REF!</v>
      </c>
      <c r="EF2" t="e">
        <f>AND(#REF!,"AAAAAF3X94c=")</f>
        <v>#REF!</v>
      </c>
      <c r="EG2" t="e">
        <f>AND(#REF!,"AAAAAF3X94g=")</f>
        <v>#REF!</v>
      </c>
      <c r="EH2" t="e">
        <f>AND(#REF!,"AAAAAF3X94k=")</f>
        <v>#REF!</v>
      </c>
      <c r="EI2" t="e">
        <f>AND(#REF!,"AAAAAF3X94o=")</f>
        <v>#REF!</v>
      </c>
      <c r="EJ2" t="e">
        <f>AND(#REF!,"AAAAAF3X94s=")</f>
        <v>#REF!</v>
      </c>
      <c r="EK2" t="e">
        <f>AND(#REF!,"AAAAAF3X94w=")</f>
        <v>#REF!</v>
      </c>
      <c r="EL2" t="e">
        <f>AND(#REF!,"AAAAAF3X940=")</f>
        <v>#REF!</v>
      </c>
      <c r="EM2" t="e">
        <f>AND(#REF!,"AAAAAF3X944=")</f>
        <v>#REF!</v>
      </c>
      <c r="EN2" t="e">
        <f>IF(#REF!,"AAAAAF3X948=",0)</f>
        <v>#REF!</v>
      </c>
      <c r="EO2" t="e">
        <f>AND(#REF!,"AAAAAF3X95A=")</f>
        <v>#REF!</v>
      </c>
      <c r="EP2" t="e">
        <f>AND(#REF!,"AAAAAF3X95E=")</f>
        <v>#REF!</v>
      </c>
      <c r="EQ2" t="e">
        <f>AND(#REF!,"AAAAAF3X95I=")</f>
        <v>#REF!</v>
      </c>
      <c r="ER2" t="e">
        <f>AND(#REF!,"AAAAAF3X95M=")</f>
        <v>#REF!</v>
      </c>
      <c r="ES2" t="e">
        <f>AND(#REF!,"AAAAAF3X95Q=")</f>
        <v>#REF!</v>
      </c>
      <c r="ET2" t="e">
        <f>AND(#REF!,"AAAAAF3X95U=")</f>
        <v>#REF!</v>
      </c>
      <c r="EU2" t="e">
        <f>AND(#REF!,"AAAAAF3X95Y=")</f>
        <v>#REF!</v>
      </c>
      <c r="EV2" t="e">
        <f>AND(#REF!,"AAAAAF3X95c=")</f>
        <v>#REF!</v>
      </c>
      <c r="EW2" t="e">
        <f>AND(#REF!,"AAAAAF3X95g=")</f>
        <v>#REF!</v>
      </c>
      <c r="EX2" t="e">
        <f>AND(#REF!,"AAAAAF3X95k=")</f>
        <v>#REF!</v>
      </c>
      <c r="EY2" t="e">
        <f>AND(#REF!,"AAAAAF3X95o=")</f>
        <v>#REF!</v>
      </c>
      <c r="EZ2" t="e">
        <f>AND(#REF!,"AAAAAF3X95s=")</f>
        <v>#REF!</v>
      </c>
      <c r="FA2" t="e">
        <f>AND(#REF!,"AAAAAF3X95w=")</f>
        <v>#REF!</v>
      </c>
      <c r="FB2" t="e">
        <f>AND(#REF!,"AAAAAF3X950=")</f>
        <v>#REF!</v>
      </c>
      <c r="FC2" t="e">
        <f>AND(#REF!,"AAAAAF3X954=")</f>
        <v>#REF!</v>
      </c>
      <c r="FD2" t="e">
        <f>AND(#REF!,"AAAAAF3X958=")</f>
        <v>#REF!</v>
      </c>
      <c r="FE2" t="e">
        <f>AND(#REF!,"AAAAAF3X96A=")</f>
        <v>#REF!</v>
      </c>
      <c r="FF2" t="e">
        <f>AND(#REF!,"AAAAAF3X96E=")</f>
        <v>#REF!</v>
      </c>
      <c r="FG2" t="e">
        <f>IF(#REF!,"AAAAAF3X96I=",0)</f>
        <v>#REF!</v>
      </c>
      <c r="FH2" t="e">
        <f>AND(#REF!,"AAAAAF3X96M=")</f>
        <v>#REF!</v>
      </c>
      <c r="FI2" t="e">
        <f>AND(#REF!,"AAAAAF3X96Q=")</f>
        <v>#REF!</v>
      </c>
      <c r="FJ2" t="e">
        <f>AND(#REF!,"AAAAAF3X96U=")</f>
        <v>#REF!</v>
      </c>
      <c r="FK2" t="e">
        <f>AND(#REF!,"AAAAAF3X96Y=")</f>
        <v>#REF!</v>
      </c>
      <c r="FL2" t="e">
        <f>AND(#REF!,"AAAAAF3X96c=")</f>
        <v>#REF!</v>
      </c>
      <c r="FM2" t="e">
        <f>AND(#REF!,"AAAAAF3X96g=")</f>
        <v>#REF!</v>
      </c>
      <c r="FN2" t="e">
        <f>AND(#REF!,"AAAAAF3X96k=")</f>
        <v>#REF!</v>
      </c>
      <c r="FO2" t="e">
        <f>AND(#REF!,"AAAAAF3X96o=")</f>
        <v>#REF!</v>
      </c>
      <c r="FP2" t="e">
        <f>AND(#REF!,"AAAAAF3X96s=")</f>
        <v>#REF!</v>
      </c>
      <c r="FQ2" t="e">
        <f>AND(#REF!,"AAAAAF3X96w=")</f>
        <v>#REF!</v>
      </c>
      <c r="FR2" t="e">
        <f>AND(#REF!,"AAAAAF3X960=")</f>
        <v>#REF!</v>
      </c>
      <c r="FS2" t="e">
        <f>AND(#REF!,"AAAAAF3X964=")</f>
        <v>#REF!</v>
      </c>
      <c r="FT2" t="e">
        <f>AND(#REF!,"AAAAAF3X968=")</f>
        <v>#REF!</v>
      </c>
      <c r="FU2" t="e">
        <f>AND(#REF!,"AAAAAF3X97A=")</f>
        <v>#REF!</v>
      </c>
      <c r="FV2" t="e">
        <f>AND(#REF!,"AAAAAF3X97E=")</f>
        <v>#REF!</v>
      </c>
      <c r="FW2" t="e">
        <f>AND(#REF!,"AAAAAF3X97I=")</f>
        <v>#REF!</v>
      </c>
      <c r="FX2" t="e">
        <f>AND(#REF!,"AAAAAF3X97M=")</f>
        <v>#REF!</v>
      </c>
      <c r="FY2" t="e">
        <f>AND(#REF!,"AAAAAF3X97Q=")</f>
        <v>#REF!</v>
      </c>
      <c r="FZ2" t="e">
        <f>IF(#REF!,"AAAAAF3X97U=",0)</f>
        <v>#REF!</v>
      </c>
      <c r="GA2" t="e">
        <f>AND(#REF!,"AAAAAF3X97Y=")</f>
        <v>#REF!</v>
      </c>
      <c r="GB2" t="e">
        <f>AND(#REF!,"AAAAAF3X97c=")</f>
        <v>#REF!</v>
      </c>
      <c r="GC2" t="e">
        <f>AND(#REF!,"AAAAAF3X97g=")</f>
        <v>#REF!</v>
      </c>
      <c r="GD2" t="e">
        <f>AND(#REF!,"AAAAAF3X97k=")</f>
        <v>#REF!</v>
      </c>
      <c r="GE2" t="e">
        <f>AND(#REF!,"AAAAAF3X97o=")</f>
        <v>#REF!</v>
      </c>
      <c r="GF2" t="e">
        <f>AND(#REF!,"AAAAAF3X97s=")</f>
        <v>#REF!</v>
      </c>
      <c r="GG2" t="e">
        <f>AND(#REF!,"AAAAAF3X97w=")</f>
        <v>#REF!</v>
      </c>
      <c r="GH2" t="e">
        <f>AND(#REF!,"AAAAAF3X970=")</f>
        <v>#REF!</v>
      </c>
      <c r="GI2" t="e">
        <f>AND(#REF!,"AAAAAF3X974=")</f>
        <v>#REF!</v>
      </c>
      <c r="GJ2" t="e">
        <f>AND(#REF!,"AAAAAF3X978=")</f>
        <v>#REF!</v>
      </c>
      <c r="GK2" t="e">
        <f>AND(#REF!,"AAAAAF3X98A=")</f>
        <v>#REF!</v>
      </c>
      <c r="GL2" t="e">
        <f>AND(#REF!,"AAAAAF3X98E=")</f>
        <v>#REF!</v>
      </c>
      <c r="GM2" t="e">
        <f>AND(#REF!,"AAAAAF3X98I=")</f>
        <v>#REF!</v>
      </c>
      <c r="GN2" t="e">
        <f>AND(#REF!,"AAAAAF3X98M=")</f>
        <v>#REF!</v>
      </c>
      <c r="GO2" t="e">
        <f>AND(#REF!,"AAAAAF3X98Q=")</f>
        <v>#REF!</v>
      </c>
      <c r="GP2" t="e">
        <f>AND(#REF!,"AAAAAF3X98U=")</f>
        <v>#REF!</v>
      </c>
      <c r="GQ2" t="e">
        <f>AND(#REF!,"AAAAAF3X98Y=")</f>
        <v>#REF!</v>
      </c>
      <c r="GR2" t="e">
        <f>AND(#REF!,"AAAAAF3X98c=")</f>
        <v>#REF!</v>
      </c>
      <c r="GS2" t="e">
        <f>IF(#REF!,"AAAAAF3X98g=",0)</f>
        <v>#REF!</v>
      </c>
      <c r="GT2" t="e">
        <f>AND(#REF!,"AAAAAF3X98k=")</f>
        <v>#REF!</v>
      </c>
      <c r="GU2" t="e">
        <f>AND(#REF!,"AAAAAF3X98o=")</f>
        <v>#REF!</v>
      </c>
      <c r="GV2" t="e">
        <f>AND(#REF!,"AAAAAF3X98s=")</f>
        <v>#REF!</v>
      </c>
      <c r="GW2" t="e">
        <f>AND(#REF!,"AAAAAF3X98w=")</f>
        <v>#REF!</v>
      </c>
      <c r="GX2" t="e">
        <f>AND(#REF!,"AAAAAF3X980=")</f>
        <v>#REF!</v>
      </c>
      <c r="GY2" t="e">
        <f>AND(#REF!,"AAAAAF3X984=")</f>
        <v>#REF!</v>
      </c>
      <c r="GZ2" t="e">
        <f>AND(#REF!,"AAAAAF3X988=")</f>
        <v>#REF!</v>
      </c>
      <c r="HA2" t="e">
        <f>AND(#REF!,"AAAAAF3X99A=")</f>
        <v>#REF!</v>
      </c>
      <c r="HB2" t="e">
        <f>AND(#REF!,"AAAAAF3X99E=")</f>
        <v>#REF!</v>
      </c>
      <c r="HC2" t="e">
        <f>AND(#REF!,"AAAAAF3X99I=")</f>
        <v>#REF!</v>
      </c>
      <c r="HD2" t="e">
        <f>AND(#REF!,"AAAAAF3X99M=")</f>
        <v>#REF!</v>
      </c>
      <c r="HE2" t="e">
        <f>AND(#REF!,"AAAAAF3X99Q=")</f>
        <v>#REF!</v>
      </c>
      <c r="HF2" t="e">
        <f>AND(#REF!,"AAAAAF3X99U=")</f>
        <v>#REF!</v>
      </c>
      <c r="HG2" t="e">
        <f>AND(#REF!,"AAAAAF3X99Y=")</f>
        <v>#REF!</v>
      </c>
      <c r="HH2" t="e">
        <f>AND(#REF!,"AAAAAF3X99c=")</f>
        <v>#REF!</v>
      </c>
      <c r="HI2" t="e">
        <f>AND(#REF!,"AAAAAF3X99g=")</f>
        <v>#REF!</v>
      </c>
      <c r="HJ2" t="e">
        <f>AND(#REF!,"AAAAAF3X99k=")</f>
        <v>#REF!</v>
      </c>
      <c r="HK2" t="e">
        <f>AND(#REF!,"AAAAAF3X99o=")</f>
        <v>#REF!</v>
      </c>
      <c r="HL2" t="e">
        <f>IF(#REF!,"AAAAAF3X99s=",0)</f>
        <v>#REF!</v>
      </c>
      <c r="HM2" t="e">
        <f>AND(#REF!,"AAAAAF3X99w=")</f>
        <v>#REF!</v>
      </c>
      <c r="HN2" t="e">
        <f>AND(#REF!,"AAAAAF3X990=")</f>
        <v>#REF!</v>
      </c>
      <c r="HO2" t="e">
        <f>AND(#REF!,"AAAAAF3X994=")</f>
        <v>#REF!</v>
      </c>
      <c r="HP2" t="e">
        <f>AND(#REF!,"AAAAAF3X998=")</f>
        <v>#REF!</v>
      </c>
      <c r="HQ2" t="e">
        <f>AND(#REF!,"AAAAAF3X9+A=")</f>
        <v>#REF!</v>
      </c>
      <c r="HR2" t="e">
        <f>AND(#REF!,"AAAAAF3X9+E=")</f>
        <v>#REF!</v>
      </c>
      <c r="HS2" t="e">
        <f>AND(#REF!,"AAAAAF3X9+I=")</f>
        <v>#REF!</v>
      </c>
      <c r="HT2" t="e">
        <f>AND(#REF!,"AAAAAF3X9+M=")</f>
        <v>#REF!</v>
      </c>
      <c r="HU2" t="e">
        <f>AND(#REF!,"AAAAAF3X9+Q=")</f>
        <v>#REF!</v>
      </c>
      <c r="HV2" t="e">
        <f>AND(#REF!,"AAAAAF3X9+U=")</f>
        <v>#REF!</v>
      </c>
      <c r="HW2" t="e">
        <f>AND(#REF!,"AAAAAF3X9+Y=")</f>
        <v>#REF!</v>
      </c>
      <c r="HX2" t="e">
        <f>AND(#REF!,"AAAAAF3X9+c=")</f>
        <v>#REF!</v>
      </c>
      <c r="HY2" t="e">
        <f>AND(#REF!,"AAAAAF3X9+g=")</f>
        <v>#REF!</v>
      </c>
      <c r="HZ2" t="e">
        <f>AND(#REF!,"AAAAAF3X9+k=")</f>
        <v>#REF!</v>
      </c>
      <c r="IA2" t="e">
        <f>AND(#REF!,"AAAAAF3X9+o=")</f>
        <v>#REF!</v>
      </c>
      <c r="IB2" t="e">
        <f>AND(#REF!,"AAAAAF3X9+s=")</f>
        <v>#REF!</v>
      </c>
      <c r="IC2" t="e">
        <f>AND(#REF!,"AAAAAF3X9+w=")</f>
        <v>#REF!</v>
      </c>
      <c r="ID2" t="e">
        <f>AND(#REF!,"AAAAAF3X9+0=")</f>
        <v>#REF!</v>
      </c>
      <c r="IE2" t="e">
        <f>IF(#REF!,"AAAAAF3X9+4=",0)</f>
        <v>#REF!</v>
      </c>
      <c r="IF2" t="e">
        <f>AND(#REF!,"AAAAAF3X9+8=")</f>
        <v>#REF!</v>
      </c>
      <c r="IG2" t="e">
        <f>AND(#REF!,"AAAAAF3X9/A=")</f>
        <v>#REF!</v>
      </c>
      <c r="IH2" t="e">
        <f>AND(#REF!,"AAAAAF3X9/E=")</f>
        <v>#REF!</v>
      </c>
      <c r="II2" t="e">
        <f>AND(#REF!,"AAAAAF3X9/I=")</f>
        <v>#REF!</v>
      </c>
      <c r="IJ2" t="e">
        <f>AND(#REF!,"AAAAAF3X9/M=")</f>
        <v>#REF!</v>
      </c>
      <c r="IK2" t="e">
        <f>AND(#REF!,"AAAAAF3X9/Q=")</f>
        <v>#REF!</v>
      </c>
      <c r="IL2" t="e">
        <f>AND(#REF!,"AAAAAF3X9/U=")</f>
        <v>#REF!</v>
      </c>
      <c r="IM2" t="e">
        <f>AND(#REF!,"AAAAAF3X9/Y=")</f>
        <v>#REF!</v>
      </c>
      <c r="IN2" t="e">
        <f>AND(#REF!,"AAAAAF3X9/c=")</f>
        <v>#REF!</v>
      </c>
      <c r="IO2" t="e">
        <f>AND(#REF!,"AAAAAF3X9/g=")</f>
        <v>#REF!</v>
      </c>
      <c r="IP2" t="e">
        <f>AND(#REF!,"AAAAAF3X9/k=")</f>
        <v>#REF!</v>
      </c>
      <c r="IQ2" t="e">
        <f>AND(#REF!,"AAAAAF3X9/o=")</f>
        <v>#REF!</v>
      </c>
      <c r="IR2" t="e">
        <f>AND(#REF!,"AAAAAF3X9/s=")</f>
        <v>#REF!</v>
      </c>
      <c r="IS2" t="e">
        <f>AND(#REF!,"AAAAAF3X9/w=")</f>
        <v>#REF!</v>
      </c>
      <c r="IT2" t="e">
        <f>AND(#REF!,"AAAAAF3X9/0=")</f>
        <v>#REF!</v>
      </c>
      <c r="IU2" t="e">
        <f>AND(#REF!,"AAAAAF3X9/4=")</f>
        <v>#REF!</v>
      </c>
      <c r="IV2" t="e">
        <f>AND(#REF!,"AAAAAF3X9/8=")</f>
        <v>#REF!</v>
      </c>
    </row>
    <row r="3" spans="1:256">
      <c r="A3" t="e">
        <f>AND(#REF!,"AAAAAFedvwA=")</f>
        <v>#REF!</v>
      </c>
      <c r="B3" t="e">
        <f>IF(#REF!,"AAAAAFedvwE=",0)</f>
        <v>#REF!</v>
      </c>
      <c r="C3" t="e">
        <f>AND(#REF!,"AAAAAFedvwI=")</f>
        <v>#REF!</v>
      </c>
      <c r="D3" t="e">
        <f>AND(#REF!,"AAAAAFedvwM=")</f>
        <v>#REF!</v>
      </c>
      <c r="E3" t="e">
        <f>AND(#REF!,"AAAAAFedvwQ=")</f>
        <v>#REF!</v>
      </c>
      <c r="F3" t="e">
        <f>AND(#REF!,"AAAAAFedvwU=")</f>
        <v>#REF!</v>
      </c>
      <c r="G3" t="e">
        <f>AND(#REF!,"AAAAAFedvwY=")</f>
        <v>#REF!</v>
      </c>
      <c r="H3" t="e">
        <f>AND(#REF!,"AAAAAFedvwc=")</f>
        <v>#REF!</v>
      </c>
      <c r="I3" t="e">
        <f>AND(#REF!,"AAAAAFedvwg=")</f>
        <v>#REF!</v>
      </c>
      <c r="J3" t="e">
        <f>AND(#REF!,"AAAAAFedvwk=")</f>
        <v>#REF!</v>
      </c>
      <c r="K3" t="e">
        <f>AND(#REF!,"AAAAAFedvwo=")</f>
        <v>#REF!</v>
      </c>
      <c r="L3" t="e">
        <f>AND(#REF!,"AAAAAFedvws=")</f>
        <v>#REF!</v>
      </c>
      <c r="M3" t="e">
        <f>AND(#REF!,"AAAAAFedvww=")</f>
        <v>#REF!</v>
      </c>
      <c r="N3" t="e">
        <f>AND(#REF!,"AAAAAFedvw0=")</f>
        <v>#REF!</v>
      </c>
      <c r="O3" t="e">
        <f>AND(#REF!,"AAAAAFedvw4=")</f>
        <v>#REF!</v>
      </c>
      <c r="P3" t="e">
        <f>AND(#REF!,"AAAAAFedvw8=")</f>
        <v>#REF!</v>
      </c>
      <c r="Q3" t="e">
        <f>AND(#REF!,"AAAAAFedvxA=")</f>
        <v>#REF!</v>
      </c>
      <c r="R3" t="e">
        <f>AND(#REF!,"AAAAAFedvxE=")</f>
        <v>#REF!</v>
      </c>
      <c r="S3" t="e">
        <f>AND(#REF!,"AAAAAFedvxI=")</f>
        <v>#REF!</v>
      </c>
      <c r="T3" t="e">
        <f>AND(#REF!,"AAAAAFedvxM=")</f>
        <v>#REF!</v>
      </c>
      <c r="U3" t="e">
        <f>IF(#REF!,"AAAAAFedvxQ=",0)</f>
        <v>#REF!</v>
      </c>
      <c r="V3" t="e">
        <f>AND(#REF!,"AAAAAFedvxU=")</f>
        <v>#REF!</v>
      </c>
      <c r="W3" t="e">
        <f>AND(#REF!,"AAAAAFedvxY=")</f>
        <v>#REF!</v>
      </c>
      <c r="X3" t="e">
        <f>AND(#REF!,"AAAAAFedvxc=")</f>
        <v>#REF!</v>
      </c>
      <c r="Y3" t="e">
        <f>AND(#REF!,"AAAAAFedvxg=")</f>
        <v>#REF!</v>
      </c>
      <c r="Z3" t="e">
        <f>AND(#REF!,"AAAAAFedvxk=")</f>
        <v>#REF!</v>
      </c>
      <c r="AA3" t="e">
        <f>AND(#REF!,"AAAAAFedvxo=")</f>
        <v>#REF!</v>
      </c>
      <c r="AB3" t="e">
        <f>AND(#REF!,"AAAAAFedvxs=")</f>
        <v>#REF!</v>
      </c>
      <c r="AC3" t="e">
        <f>AND(#REF!,"AAAAAFedvxw=")</f>
        <v>#REF!</v>
      </c>
      <c r="AD3" t="e">
        <f>AND(#REF!,"AAAAAFedvx0=")</f>
        <v>#REF!</v>
      </c>
      <c r="AE3" t="e">
        <f>AND(#REF!,"AAAAAFedvx4=")</f>
        <v>#REF!</v>
      </c>
      <c r="AF3" t="e">
        <f>AND(#REF!,"AAAAAFedvx8=")</f>
        <v>#REF!</v>
      </c>
      <c r="AG3" t="e">
        <f>AND(#REF!,"AAAAAFedvyA=")</f>
        <v>#REF!</v>
      </c>
      <c r="AH3" t="e">
        <f>AND(#REF!,"AAAAAFedvyE=")</f>
        <v>#REF!</v>
      </c>
      <c r="AI3" t="e">
        <f>AND(#REF!,"AAAAAFedvyI=")</f>
        <v>#REF!</v>
      </c>
      <c r="AJ3" t="e">
        <f>AND(#REF!,"AAAAAFedvyM=")</f>
        <v>#REF!</v>
      </c>
      <c r="AK3" t="e">
        <f>AND(#REF!,"AAAAAFedvyQ=")</f>
        <v>#REF!</v>
      </c>
      <c r="AL3" t="e">
        <f>AND(#REF!,"AAAAAFedvyU=")</f>
        <v>#REF!</v>
      </c>
      <c r="AM3" t="e">
        <f>AND(#REF!,"AAAAAFedvyY=")</f>
        <v>#REF!</v>
      </c>
      <c r="AN3" t="e">
        <f>IF(#REF!,"AAAAAFedvyc=",0)</f>
        <v>#REF!</v>
      </c>
      <c r="AO3" t="e">
        <f>AND(#REF!,"AAAAAFedvyg=")</f>
        <v>#REF!</v>
      </c>
      <c r="AP3" t="e">
        <f>AND(#REF!,"AAAAAFedvyk=")</f>
        <v>#REF!</v>
      </c>
      <c r="AQ3" t="e">
        <f>AND(#REF!,"AAAAAFedvyo=")</f>
        <v>#REF!</v>
      </c>
      <c r="AR3" t="e">
        <f>AND(#REF!,"AAAAAFedvys=")</f>
        <v>#REF!</v>
      </c>
      <c r="AS3" t="e">
        <f>AND(#REF!,"AAAAAFedvyw=")</f>
        <v>#REF!</v>
      </c>
      <c r="AT3" t="e">
        <f>AND(#REF!,"AAAAAFedvy0=")</f>
        <v>#REF!</v>
      </c>
      <c r="AU3" t="e">
        <f>AND(#REF!,"AAAAAFedvy4=")</f>
        <v>#REF!</v>
      </c>
      <c r="AV3" t="e">
        <f>AND(#REF!,"AAAAAFedvy8=")</f>
        <v>#REF!</v>
      </c>
      <c r="AW3" t="e">
        <f>AND(#REF!,"AAAAAFedvzA=")</f>
        <v>#REF!</v>
      </c>
      <c r="AX3" t="e">
        <f>AND(#REF!,"AAAAAFedvzE=")</f>
        <v>#REF!</v>
      </c>
      <c r="AY3" t="e">
        <f>AND(#REF!,"AAAAAFedvzI=")</f>
        <v>#REF!</v>
      </c>
      <c r="AZ3" t="e">
        <f>AND(#REF!,"AAAAAFedvzM=")</f>
        <v>#REF!</v>
      </c>
      <c r="BA3" t="e">
        <f>AND(#REF!,"AAAAAFedvzQ=")</f>
        <v>#REF!</v>
      </c>
      <c r="BB3" t="e">
        <f>AND(#REF!,"AAAAAFedvzU=")</f>
        <v>#REF!</v>
      </c>
      <c r="BC3" t="e">
        <f>AND(#REF!,"AAAAAFedvzY=")</f>
        <v>#REF!</v>
      </c>
      <c r="BD3" t="e">
        <f>AND(#REF!,"AAAAAFedvzc=")</f>
        <v>#REF!</v>
      </c>
      <c r="BE3" t="e">
        <f>AND(#REF!,"AAAAAFedvzg=")</f>
        <v>#REF!</v>
      </c>
      <c r="BF3" t="e">
        <f>AND(#REF!,"AAAAAFedvzk=")</f>
        <v>#REF!</v>
      </c>
      <c r="BG3" t="e">
        <f>IF(#REF!,"AAAAAFedvzo=",0)</f>
        <v>#REF!</v>
      </c>
      <c r="BH3" t="e">
        <f>AND(#REF!,"AAAAAFedvzs=")</f>
        <v>#REF!</v>
      </c>
      <c r="BI3" t="e">
        <f>AND(#REF!,"AAAAAFedvzw=")</f>
        <v>#REF!</v>
      </c>
      <c r="BJ3" t="e">
        <f>AND(#REF!,"AAAAAFedvz0=")</f>
        <v>#REF!</v>
      </c>
      <c r="BK3" t="e">
        <f>AND(#REF!,"AAAAAFedvz4=")</f>
        <v>#REF!</v>
      </c>
      <c r="BL3" t="e">
        <f>AND(#REF!,"AAAAAFedvz8=")</f>
        <v>#REF!</v>
      </c>
      <c r="BM3" t="e">
        <f>AND(#REF!,"AAAAAFedv0A=")</f>
        <v>#REF!</v>
      </c>
      <c r="BN3" t="e">
        <f>AND(#REF!,"AAAAAFedv0E=")</f>
        <v>#REF!</v>
      </c>
      <c r="BO3" t="e">
        <f>AND(#REF!,"AAAAAFedv0I=")</f>
        <v>#REF!</v>
      </c>
      <c r="BP3" t="e">
        <f>AND(#REF!,"AAAAAFedv0M=")</f>
        <v>#REF!</v>
      </c>
      <c r="BQ3" t="e">
        <f>AND(#REF!,"AAAAAFedv0Q=")</f>
        <v>#REF!</v>
      </c>
      <c r="BR3" t="e">
        <f>AND(#REF!,"AAAAAFedv0U=")</f>
        <v>#REF!</v>
      </c>
      <c r="BS3" t="e">
        <f>AND(#REF!,"AAAAAFedv0Y=")</f>
        <v>#REF!</v>
      </c>
      <c r="BT3" t="e">
        <f>AND(#REF!,"AAAAAFedv0c=")</f>
        <v>#REF!</v>
      </c>
      <c r="BU3" t="e">
        <f>AND(#REF!,"AAAAAFedv0g=")</f>
        <v>#REF!</v>
      </c>
      <c r="BV3" t="e">
        <f>AND(#REF!,"AAAAAFedv0k=")</f>
        <v>#REF!</v>
      </c>
      <c r="BW3" t="e">
        <f>AND(#REF!,"AAAAAFedv0o=")</f>
        <v>#REF!</v>
      </c>
      <c r="BX3" t="e">
        <f>AND(#REF!,"AAAAAFedv0s=")</f>
        <v>#REF!</v>
      </c>
      <c r="BY3" t="e">
        <f>AND(#REF!,"AAAAAFedv0w=")</f>
        <v>#REF!</v>
      </c>
      <c r="BZ3" t="e">
        <f>IF(#REF!,"AAAAAFedv00=",0)</f>
        <v>#REF!</v>
      </c>
      <c r="CA3" t="e">
        <f>AND(#REF!,"AAAAAFedv04=")</f>
        <v>#REF!</v>
      </c>
      <c r="CB3" t="e">
        <f>AND(#REF!,"AAAAAFedv08=")</f>
        <v>#REF!</v>
      </c>
      <c r="CC3" t="e">
        <f>AND(#REF!,"AAAAAFedv1A=")</f>
        <v>#REF!</v>
      </c>
      <c r="CD3" t="e">
        <f>AND(#REF!,"AAAAAFedv1E=")</f>
        <v>#REF!</v>
      </c>
      <c r="CE3" t="e">
        <f>AND(#REF!,"AAAAAFedv1I=")</f>
        <v>#REF!</v>
      </c>
      <c r="CF3" t="e">
        <f>AND(#REF!,"AAAAAFedv1M=")</f>
        <v>#REF!</v>
      </c>
      <c r="CG3" t="e">
        <f>AND(#REF!,"AAAAAFedv1Q=")</f>
        <v>#REF!</v>
      </c>
      <c r="CH3" t="e">
        <f>AND(#REF!,"AAAAAFedv1U=")</f>
        <v>#REF!</v>
      </c>
      <c r="CI3" t="e">
        <f>AND(#REF!,"AAAAAFedv1Y=")</f>
        <v>#REF!</v>
      </c>
      <c r="CJ3" t="e">
        <f>AND(#REF!,"AAAAAFedv1c=")</f>
        <v>#REF!</v>
      </c>
      <c r="CK3" t="e">
        <f>AND(#REF!,"AAAAAFedv1g=")</f>
        <v>#REF!</v>
      </c>
      <c r="CL3" t="e">
        <f>AND(#REF!,"AAAAAFedv1k=")</f>
        <v>#REF!</v>
      </c>
      <c r="CM3" t="e">
        <f>AND(#REF!,"AAAAAFedv1o=")</f>
        <v>#REF!</v>
      </c>
      <c r="CN3" t="e">
        <f>AND(#REF!,"AAAAAFedv1s=")</f>
        <v>#REF!</v>
      </c>
      <c r="CO3" t="e">
        <f>AND(#REF!,"AAAAAFedv1w=")</f>
        <v>#REF!</v>
      </c>
      <c r="CP3" t="e">
        <f>AND(#REF!,"AAAAAFedv10=")</f>
        <v>#REF!</v>
      </c>
      <c r="CQ3" t="e">
        <f>AND(#REF!,"AAAAAFedv14=")</f>
        <v>#REF!</v>
      </c>
      <c r="CR3" t="e">
        <f>AND(#REF!,"AAAAAFedv18=")</f>
        <v>#REF!</v>
      </c>
      <c r="CS3" t="e">
        <f>IF(#REF!,"AAAAAFedv2A=",0)</f>
        <v>#REF!</v>
      </c>
      <c r="CT3" t="e">
        <f>AND(#REF!,"AAAAAFedv2E=")</f>
        <v>#REF!</v>
      </c>
      <c r="CU3" t="e">
        <f>AND(#REF!,"AAAAAFedv2I=")</f>
        <v>#REF!</v>
      </c>
      <c r="CV3" t="e">
        <f>AND(#REF!,"AAAAAFedv2M=")</f>
        <v>#REF!</v>
      </c>
      <c r="CW3" t="e">
        <f>AND(#REF!,"AAAAAFedv2Q=")</f>
        <v>#REF!</v>
      </c>
      <c r="CX3" t="e">
        <f>AND(#REF!,"AAAAAFedv2U=")</f>
        <v>#REF!</v>
      </c>
      <c r="CY3" t="e">
        <f>AND(#REF!,"AAAAAFedv2Y=")</f>
        <v>#REF!</v>
      </c>
      <c r="CZ3" t="e">
        <f>AND(#REF!,"AAAAAFedv2c=")</f>
        <v>#REF!</v>
      </c>
      <c r="DA3" t="e">
        <f>AND(#REF!,"AAAAAFedv2g=")</f>
        <v>#REF!</v>
      </c>
      <c r="DB3" t="e">
        <f>AND(#REF!,"AAAAAFedv2k=")</f>
        <v>#REF!</v>
      </c>
      <c r="DC3" t="e">
        <f>AND(#REF!,"AAAAAFedv2o=")</f>
        <v>#REF!</v>
      </c>
      <c r="DD3" t="e">
        <f>AND(#REF!,"AAAAAFedv2s=")</f>
        <v>#REF!</v>
      </c>
      <c r="DE3" t="e">
        <f>AND(#REF!,"AAAAAFedv2w=")</f>
        <v>#REF!</v>
      </c>
      <c r="DF3" t="e">
        <f>AND(#REF!,"AAAAAFedv20=")</f>
        <v>#REF!</v>
      </c>
      <c r="DG3" t="e">
        <f>AND(#REF!,"AAAAAFedv24=")</f>
        <v>#REF!</v>
      </c>
      <c r="DH3" t="e">
        <f>AND(#REF!,"AAAAAFedv28=")</f>
        <v>#REF!</v>
      </c>
      <c r="DI3" t="e">
        <f>AND(#REF!,"AAAAAFedv3A=")</f>
        <v>#REF!</v>
      </c>
      <c r="DJ3" t="e">
        <f>AND(#REF!,"AAAAAFedv3E=")</f>
        <v>#REF!</v>
      </c>
      <c r="DK3" t="e">
        <f>AND(#REF!,"AAAAAFedv3I=")</f>
        <v>#REF!</v>
      </c>
      <c r="DL3" t="e">
        <f>IF(#REF!,"AAAAAFedv3M=",0)</f>
        <v>#REF!</v>
      </c>
      <c r="DM3" t="e">
        <f>AND(#REF!,"AAAAAFedv3Q=")</f>
        <v>#REF!</v>
      </c>
      <c r="DN3" t="e">
        <f>AND(#REF!,"AAAAAFedv3U=")</f>
        <v>#REF!</v>
      </c>
      <c r="DO3" t="e">
        <f>AND(#REF!,"AAAAAFedv3Y=")</f>
        <v>#REF!</v>
      </c>
      <c r="DP3" t="e">
        <f>AND(#REF!,"AAAAAFedv3c=")</f>
        <v>#REF!</v>
      </c>
      <c r="DQ3" t="e">
        <f>AND(#REF!,"AAAAAFedv3g=")</f>
        <v>#REF!</v>
      </c>
      <c r="DR3" t="e">
        <f>AND(#REF!,"AAAAAFedv3k=")</f>
        <v>#REF!</v>
      </c>
      <c r="DS3" t="e">
        <f>AND(#REF!,"AAAAAFedv3o=")</f>
        <v>#REF!</v>
      </c>
      <c r="DT3" t="e">
        <f>AND(#REF!,"AAAAAFedv3s=")</f>
        <v>#REF!</v>
      </c>
      <c r="DU3" t="e">
        <f>AND(#REF!,"AAAAAFedv3w=")</f>
        <v>#REF!</v>
      </c>
      <c r="DV3" t="e">
        <f>AND(#REF!,"AAAAAFedv30=")</f>
        <v>#REF!</v>
      </c>
      <c r="DW3" t="e">
        <f>AND(#REF!,"AAAAAFedv34=")</f>
        <v>#REF!</v>
      </c>
      <c r="DX3" t="e">
        <f>AND(#REF!,"AAAAAFedv38=")</f>
        <v>#REF!</v>
      </c>
      <c r="DY3" t="e">
        <f>AND(#REF!,"AAAAAFedv4A=")</f>
        <v>#REF!</v>
      </c>
      <c r="DZ3" t="e">
        <f>AND(#REF!,"AAAAAFedv4E=")</f>
        <v>#REF!</v>
      </c>
      <c r="EA3" t="e">
        <f>AND(#REF!,"AAAAAFedv4I=")</f>
        <v>#REF!</v>
      </c>
      <c r="EB3" t="e">
        <f>AND(#REF!,"AAAAAFedv4M=")</f>
        <v>#REF!</v>
      </c>
      <c r="EC3" t="e">
        <f>AND(#REF!,"AAAAAFedv4Q=")</f>
        <v>#REF!</v>
      </c>
      <c r="ED3" t="e">
        <f>AND(#REF!,"AAAAAFedv4U=")</f>
        <v>#REF!</v>
      </c>
      <c r="EE3" t="e">
        <f>IF(#REF!,"AAAAAFedv4Y=",0)</f>
        <v>#REF!</v>
      </c>
      <c r="EF3" t="e">
        <f>AND(#REF!,"AAAAAFedv4c=")</f>
        <v>#REF!</v>
      </c>
      <c r="EG3" t="e">
        <f>AND(#REF!,"AAAAAFedv4g=")</f>
        <v>#REF!</v>
      </c>
      <c r="EH3" t="e">
        <f>AND(#REF!,"AAAAAFedv4k=")</f>
        <v>#REF!</v>
      </c>
      <c r="EI3" t="e">
        <f>AND(#REF!,"AAAAAFedv4o=")</f>
        <v>#REF!</v>
      </c>
      <c r="EJ3" t="e">
        <f>AND(#REF!,"AAAAAFedv4s=")</f>
        <v>#REF!</v>
      </c>
      <c r="EK3" t="e">
        <f>AND(#REF!,"AAAAAFedv4w=")</f>
        <v>#REF!</v>
      </c>
      <c r="EL3" t="e">
        <f>AND(#REF!,"AAAAAFedv40=")</f>
        <v>#REF!</v>
      </c>
      <c r="EM3" t="e">
        <f>AND(#REF!,"AAAAAFedv44=")</f>
        <v>#REF!</v>
      </c>
      <c r="EN3" t="e">
        <f>AND(#REF!,"AAAAAFedv48=")</f>
        <v>#REF!</v>
      </c>
      <c r="EO3" t="e">
        <f>AND(#REF!,"AAAAAFedv5A=")</f>
        <v>#REF!</v>
      </c>
      <c r="EP3" t="e">
        <f>AND(#REF!,"AAAAAFedv5E=")</f>
        <v>#REF!</v>
      </c>
      <c r="EQ3" t="e">
        <f>AND(#REF!,"AAAAAFedv5I=")</f>
        <v>#REF!</v>
      </c>
      <c r="ER3" t="e">
        <f>AND(#REF!,"AAAAAFedv5M=")</f>
        <v>#REF!</v>
      </c>
      <c r="ES3" t="e">
        <f>AND(#REF!,"AAAAAFedv5Q=")</f>
        <v>#REF!</v>
      </c>
      <c r="ET3" t="e">
        <f>AND(#REF!,"AAAAAFedv5U=")</f>
        <v>#REF!</v>
      </c>
      <c r="EU3" t="e">
        <f>AND(#REF!,"AAAAAFedv5Y=")</f>
        <v>#REF!</v>
      </c>
      <c r="EV3" t="e">
        <f>AND(#REF!,"AAAAAFedv5c=")</f>
        <v>#REF!</v>
      </c>
      <c r="EW3" t="e">
        <f>AND(#REF!,"AAAAAFedv5g=")</f>
        <v>#REF!</v>
      </c>
      <c r="EX3" t="e">
        <f>IF(#REF!,"AAAAAFedv5k=",0)</f>
        <v>#REF!</v>
      </c>
      <c r="EY3" t="e">
        <f>AND(#REF!,"AAAAAFedv5o=")</f>
        <v>#REF!</v>
      </c>
      <c r="EZ3" t="e">
        <f>AND(#REF!,"AAAAAFedv5s=")</f>
        <v>#REF!</v>
      </c>
      <c r="FA3" t="e">
        <f>AND(#REF!,"AAAAAFedv5w=")</f>
        <v>#REF!</v>
      </c>
      <c r="FB3" t="e">
        <f>AND(#REF!,"AAAAAFedv50=")</f>
        <v>#REF!</v>
      </c>
      <c r="FC3" t="e">
        <f>AND(#REF!,"AAAAAFedv54=")</f>
        <v>#REF!</v>
      </c>
      <c r="FD3" t="e">
        <f>AND(#REF!,"AAAAAFedv58=")</f>
        <v>#REF!</v>
      </c>
      <c r="FE3" t="e">
        <f>AND(#REF!,"AAAAAFedv6A=")</f>
        <v>#REF!</v>
      </c>
      <c r="FF3" t="e">
        <f>AND(#REF!,"AAAAAFedv6E=")</f>
        <v>#REF!</v>
      </c>
      <c r="FG3" t="e">
        <f>AND(#REF!,"AAAAAFedv6I=")</f>
        <v>#REF!</v>
      </c>
      <c r="FH3" t="e">
        <f>AND(#REF!,"AAAAAFedv6M=")</f>
        <v>#REF!</v>
      </c>
      <c r="FI3" t="e">
        <f>AND(#REF!,"AAAAAFedv6Q=")</f>
        <v>#REF!</v>
      </c>
      <c r="FJ3" t="e">
        <f>AND(#REF!,"AAAAAFedv6U=")</f>
        <v>#REF!</v>
      </c>
      <c r="FK3" t="e">
        <f>AND(#REF!,"AAAAAFedv6Y=")</f>
        <v>#REF!</v>
      </c>
      <c r="FL3" t="e">
        <f>AND(#REF!,"AAAAAFedv6c=")</f>
        <v>#REF!</v>
      </c>
      <c r="FM3" t="e">
        <f>AND(#REF!,"AAAAAFedv6g=")</f>
        <v>#REF!</v>
      </c>
      <c r="FN3" t="e">
        <f>AND(#REF!,"AAAAAFedv6k=")</f>
        <v>#REF!</v>
      </c>
      <c r="FO3" t="e">
        <f>AND(#REF!,"AAAAAFedv6o=")</f>
        <v>#REF!</v>
      </c>
      <c r="FP3" t="e">
        <f>AND(#REF!,"AAAAAFedv6s=")</f>
        <v>#REF!</v>
      </c>
      <c r="FQ3" t="e">
        <f>IF(#REF!,"AAAAAFedv6w=",0)</f>
        <v>#REF!</v>
      </c>
      <c r="FR3" t="e">
        <f>AND(#REF!,"AAAAAFedv60=")</f>
        <v>#REF!</v>
      </c>
      <c r="FS3" t="e">
        <f>AND(#REF!,"AAAAAFedv64=")</f>
        <v>#REF!</v>
      </c>
      <c r="FT3" t="e">
        <f>AND(#REF!,"AAAAAFedv68=")</f>
        <v>#REF!</v>
      </c>
      <c r="FU3" t="e">
        <f>AND(#REF!,"AAAAAFedv7A=")</f>
        <v>#REF!</v>
      </c>
      <c r="FV3" t="e">
        <f>AND(#REF!,"AAAAAFedv7E=")</f>
        <v>#REF!</v>
      </c>
      <c r="FW3" t="e">
        <f>AND(#REF!,"AAAAAFedv7I=")</f>
        <v>#REF!</v>
      </c>
      <c r="FX3" t="e">
        <f>AND(#REF!,"AAAAAFedv7M=")</f>
        <v>#REF!</v>
      </c>
      <c r="FY3" t="e">
        <f>AND(#REF!,"AAAAAFedv7Q=")</f>
        <v>#REF!</v>
      </c>
      <c r="FZ3" t="e">
        <f>AND(#REF!,"AAAAAFedv7U=")</f>
        <v>#REF!</v>
      </c>
      <c r="GA3" t="e">
        <f>AND(#REF!,"AAAAAFedv7Y=")</f>
        <v>#REF!</v>
      </c>
      <c r="GB3" t="e">
        <f>AND(#REF!,"AAAAAFedv7c=")</f>
        <v>#REF!</v>
      </c>
      <c r="GC3" t="e">
        <f>AND(#REF!,"AAAAAFedv7g=")</f>
        <v>#REF!</v>
      </c>
      <c r="GD3" t="e">
        <f>AND(#REF!,"AAAAAFedv7k=")</f>
        <v>#REF!</v>
      </c>
      <c r="GE3" t="e">
        <f>AND(#REF!,"AAAAAFedv7o=")</f>
        <v>#REF!</v>
      </c>
      <c r="GF3" t="e">
        <f>AND(#REF!,"AAAAAFedv7s=")</f>
        <v>#REF!</v>
      </c>
      <c r="GG3" t="e">
        <f>AND(#REF!,"AAAAAFedv7w=")</f>
        <v>#REF!</v>
      </c>
      <c r="GH3" t="e">
        <f>AND(#REF!,"AAAAAFedv70=")</f>
        <v>#REF!</v>
      </c>
      <c r="GI3" t="e">
        <f>AND(#REF!,"AAAAAFedv74=")</f>
        <v>#REF!</v>
      </c>
      <c r="GJ3" t="e">
        <f>IF(#REF!,"AAAAAFedv78=",0)</f>
        <v>#REF!</v>
      </c>
      <c r="GK3" t="e">
        <f>AND(#REF!,"AAAAAFedv8A=")</f>
        <v>#REF!</v>
      </c>
      <c r="GL3" t="e">
        <f>AND(#REF!,"AAAAAFedv8E=")</f>
        <v>#REF!</v>
      </c>
      <c r="GM3" t="e">
        <f>AND(#REF!,"AAAAAFedv8I=")</f>
        <v>#REF!</v>
      </c>
      <c r="GN3" t="e">
        <f>AND(#REF!,"AAAAAFedv8M=")</f>
        <v>#REF!</v>
      </c>
      <c r="GO3" t="e">
        <f>AND(#REF!,"AAAAAFedv8Q=")</f>
        <v>#REF!</v>
      </c>
      <c r="GP3" t="e">
        <f>AND(#REF!,"AAAAAFedv8U=")</f>
        <v>#REF!</v>
      </c>
      <c r="GQ3" t="e">
        <f>AND(#REF!,"AAAAAFedv8Y=")</f>
        <v>#REF!</v>
      </c>
      <c r="GR3" t="e">
        <f>AND(#REF!,"AAAAAFedv8c=")</f>
        <v>#REF!</v>
      </c>
      <c r="GS3" t="e">
        <f>AND(#REF!,"AAAAAFedv8g=")</f>
        <v>#REF!</v>
      </c>
      <c r="GT3" t="e">
        <f>AND(#REF!,"AAAAAFedv8k=")</f>
        <v>#REF!</v>
      </c>
      <c r="GU3" t="e">
        <f>AND(#REF!,"AAAAAFedv8o=")</f>
        <v>#REF!</v>
      </c>
      <c r="GV3" t="e">
        <f>AND(#REF!,"AAAAAFedv8s=")</f>
        <v>#REF!</v>
      </c>
      <c r="GW3" t="e">
        <f>AND(#REF!,"AAAAAFedv8w=")</f>
        <v>#REF!</v>
      </c>
      <c r="GX3" t="e">
        <f>AND(#REF!,"AAAAAFedv80=")</f>
        <v>#REF!</v>
      </c>
      <c r="GY3" t="e">
        <f>AND(#REF!,"AAAAAFedv84=")</f>
        <v>#REF!</v>
      </c>
      <c r="GZ3" t="e">
        <f>AND(#REF!,"AAAAAFedv88=")</f>
        <v>#REF!</v>
      </c>
      <c r="HA3" t="e">
        <f>AND(#REF!,"AAAAAFedv9A=")</f>
        <v>#REF!</v>
      </c>
      <c r="HB3" t="e">
        <f>AND(#REF!,"AAAAAFedv9E=")</f>
        <v>#REF!</v>
      </c>
      <c r="HC3" t="e">
        <f>IF(#REF!,"AAAAAFedv9I=",0)</f>
        <v>#REF!</v>
      </c>
      <c r="HD3" t="e">
        <f>AND(#REF!,"AAAAAFedv9M=")</f>
        <v>#REF!</v>
      </c>
      <c r="HE3" t="e">
        <f>AND(#REF!,"AAAAAFedv9Q=")</f>
        <v>#REF!</v>
      </c>
      <c r="HF3" t="e">
        <f>AND(#REF!,"AAAAAFedv9U=")</f>
        <v>#REF!</v>
      </c>
      <c r="HG3" t="e">
        <f>AND(#REF!,"AAAAAFedv9Y=")</f>
        <v>#REF!</v>
      </c>
      <c r="HH3" t="e">
        <f>AND(#REF!,"AAAAAFedv9c=")</f>
        <v>#REF!</v>
      </c>
      <c r="HI3" t="e">
        <f>AND(#REF!,"AAAAAFedv9g=")</f>
        <v>#REF!</v>
      </c>
      <c r="HJ3" t="e">
        <f>AND(#REF!,"AAAAAFedv9k=")</f>
        <v>#REF!</v>
      </c>
      <c r="HK3" t="e">
        <f>AND(#REF!,"AAAAAFedv9o=")</f>
        <v>#REF!</v>
      </c>
      <c r="HL3" t="e">
        <f>AND(#REF!,"AAAAAFedv9s=")</f>
        <v>#REF!</v>
      </c>
      <c r="HM3" t="e">
        <f>AND(#REF!,"AAAAAFedv9w=")</f>
        <v>#REF!</v>
      </c>
      <c r="HN3" t="e">
        <f>AND(#REF!,"AAAAAFedv90=")</f>
        <v>#REF!</v>
      </c>
      <c r="HO3" t="e">
        <f>AND(#REF!,"AAAAAFedv94=")</f>
        <v>#REF!</v>
      </c>
      <c r="HP3" t="e">
        <f>AND(#REF!,"AAAAAFedv98=")</f>
        <v>#REF!</v>
      </c>
      <c r="HQ3" t="e">
        <f>AND(#REF!,"AAAAAFedv+A=")</f>
        <v>#REF!</v>
      </c>
      <c r="HR3" t="e">
        <f>AND(#REF!,"AAAAAFedv+E=")</f>
        <v>#REF!</v>
      </c>
      <c r="HS3" t="e">
        <f>AND(#REF!,"AAAAAFedv+I=")</f>
        <v>#REF!</v>
      </c>
      <c r="HT3" t="e">
        <f>AND(#REF!,"AAAAAFedv+M=")</f>
        <v>#REF!</v>
      </c>
      <c r="HU3" t="e">
        <f>AND(#REF!,"AAAAAFedv+Q=")</f>
        <v>#REF!</v>
      </c>
      <c r="HV3" t="e">
        <f>IF(#REF!,"AAAAAFedv+U=",0)</f>
        <v>#REF!</v>
      </c>
      <c r="HW3" t="e">
        <f>AND(#REF!,"AAAAAFedv+Y=")</f>
        <v>#REF!</v>
      </c>
      <c r="HX3" t="e">
        <f>AND(#REF!,"AAAAAFedv+c=")</f>
        <v>#REF!</v>
      </c>
      <c r="HY3" t="e">
        <f>AND(#REF!,"AAAAAFedv+g=")</f>
        <v>#REF!</v>
      </c>
      <c r="HZ3" t="e">
        <f>AND(#REF!,"AAAAAFedv+k=")</f>
        <v>#REF!</v>
      </c>
      <c r="IA3" t="e">
        <f>AND(#REF!,"AAAAAFedv+o=")</f>
        <v>#REF!</v>
      </c>
      <c r="IB3" t="e">
        <f>AND(#REF!,"AAAAAFedv+s=")</f>
        <v>#REF!</v>
      </c>
      <c r="IC3" t="e">
        <f>AND(#REF!,"AAAAAFedv+w=")</f>
        <v>#REF!</v>
      </c>
      <c r="ID3" t="e">
        <f>AND(#REF!,"AAAAAFedv+0=")</f>
        <v>#REF!</v>
      </c>
      <c r="IE3" t="e">
        <f>AND(#REF!,"AAAAAFedv+4=")</f>
        <v>#REF!</v>
      </c>
      <c r="IF3" t="e">
        <f>AND(#REF!,"AAAAAFedv+8=")</f>
        <v>#REF!</v>
      </c>
      <c r="IG3" t="e">
        <f>AND(#REF!,"AAAAAFedv/A=")</f>
        <v>#REF!</v>
      </c>
      <c r="IH3" t="e">
        <f>AND(#REF!,"AAAAAFedv/E=")</f>
        <v>#REF!</v>
      </c>
      <c r="II3" t="e">
        <f>AND(#REF!,"AAAAAFedv/I=")</f>
        <v>#REF!</v>
      </c>
      <c r="IJ3" t="e">
        <f>AND(#REF!,"AAAAAFedv/M=")</f>
        <v>#REF!</v>
      </c>
      <c r="IK3" t="e">
        <f>AND(#REF!,"AAAAAFedv/Q=")</f>
        <v>#REF!</v>
      </c>
      <c r="IL3" t="e">
        <f>AND(#REF!,"AAAAAFedv/U=")</f>
        <v>#REF!</v>
      </c>
      <c r="IM3" t="e">
        <f>AND(#REF!,"AAAAAFedv/Y=")</f>
        <v>#REF!</v>
      </c>
      <c r="IN3" t="e">
        <f>AND(#REF!,"AAAAAFedv/c=")</f>
        <v>#REF!</v>
      </c>
      <c r="IO3" t="e">
        <f>IF(#REF!,"AAAAAFedv/g=",0)</f>
        <v>#REF!</v>
      </c>
      <c r="IP3" t="e">
        <f>AND(#REF!,"AAAAAFedv/k=")</f>
        <v>#REF!</v>
      </c>
      <c r="IQ3" t="e">
        <f>AND(#REF!,"AAAAAFedv/o=")</f>
        <v>#REF!</v>
      </c>
      <c r="IR3" t="e">
        <f>AND(#REF!,"AAAAAFedv/s=")</f>
        <v>#REF!</v>
      </c>
      <c r="IS3" t="e">
        <f>IF(#REF!,"AAAAAFedv/w=",0)</f>
        <v>#REF!</v>
      </c>
      <c r="IT3" t="e">
        <f>AND(#REF!,"AAAAAFedv/0=")</f>
        <v>#REF!</v>
      </c>
      <c r="IU3" t="e">
        <f>AND(#REF!,"AAAAAFedv/4=")</f>
        <v>#REF!</v>
      </c>
      <c r="IV3" t="e">
        <f>AND(#REF!,"AAAAAFedv/8=")</f>
        <v>#REF!</v>
      </c>
    </row>
    <row r="4" spans="1:256">
      <c r="A4" t="e">
        <f>IF(#REF!,"AAAAAEvf1wA=",0)</f>
        <v>#REF!</v>
      </c>
      <c r="B4" t="e">
        <f>AND(#REF!,"AAAAAEvf1wE=")</f>
        <v>#REF!</v>
      </c>
      <c r="C4" t="e">
        <f>AND(#REF!,"AAAAAEvf1wI=")</f>
        <v>#REF!</v>
      </c>
      <c r="D4" t="e">
        <f>AND(#REF!,"AAAAAEvf1wM=")</f>
        <v>#REF!</v>
      </c>
      <c r="E4" t="e">
        <f>IF(#REF!,"AAAAAEvf1wQ=",0)</f>
        <v>#REF!</v>
      </c>
      <c r="F4" t="e">
        <f>AND(#REF!,"AAAAAEvf1wU=")</f>
        <v>#REF!</v>
      </c>
      <c r="G4" t="e">
        <f>AND(#REF!,"AAAAAEvf1wY=")</f>
        <v>#REF!</v>
      </c>
      <c r="H4" t="e">
        <f>AND(#REF!,"AAAAAEvf1wc=")</f>
        <v>#REF!</v>
      </c>
      <c r="I4" t="e">
        <f>IF(#REF!,"AAAAAEvf1wg=",0)</f>
        <v>#REF!</v>
      </c>
      <c r="J4" t="e">
        <f>AND(#REF!,"AAAAAEvf1wk=")</f>
        <v>#REF!</v>
      </c>
      <c r="K4" t="e">
        <f>AND(#REF!,"AAAAAEvf1wo=")</f>
        <v>#REF!</v>
      </c>
      <c r="L4" t="e">
        <f>AND(#REF!,"AAAAAEvf1ws=")</f>
        <v>#REF!</v>
      </c>
      <c r="M4" t="e">
        <f>IF(#REF!,"AAAAAEvf1ww=",0)</f>
        <v>#REF!</v>
      </c>
      <c r="N4" t="e">
        <f>AND(#REF!,"AAAAAEvf1w0=")</f>
        <v>#REF!</v>
      </c>
      <c r="O4" t="e">
        <f>AND(#REF!,"AAAAAEvf1w4=")</f>
        <v>#REF!</v>
      </c>
      <c r="P4" t="e">
        <f>AND(#REF!,"AAAAAEvf1w8=")</f>
        <v>#REF!</v>
      </c>
      <c r="Q4" t="e">
        <f>IF(#REF!,"AAAAAEvf1xA=",0)</f>
        <v>#REF!</v>
      </c>
      <c r="R4" t="e">
        <f>AND(#REF!,"AAAAAEvf1xE=")</f>
        <v>#REF!</v>
      </c>
      <c r="S4" t="e">
        <f>AND(#REF!,"AAAAAEvf1xI=")</f>
        <v>#REF!</v>
      </c>
      <c r="T4" t="e">
        <f>AND(#REF!,"AAAAAEvf1xM=")</f>
        <v>#REF!</v>
      </c>
      <c r="U4" t="e">
        <f>IF(#REF!,"AAAAAEvf1xQ=",0)</f>
        <v>#REF!</v>
      </c>
      <c r="V4" t="e">
        <f>AND(#REF!,"AAAAAEvf1xU=")</f>
        <v>#REF!</v>
      </c>
      <c r="W4" t="e">
        <f>AND(#REF!,"AAAAAEvf1xY=")</f>
        <v>#REF!</v>
      </c>
      <c r="X4" t="e">
        <f>AND(#REF!,"AAAAAEvf1xc=")</f>
        <v>#REF!</v>
      </c>
      <c r="Y4" t="e">
        <f>IF(#REF!,"AAAAAEvf1xg=",0)</f>
        <v>#REF!</v>
      </c>
      <c r="Z4" t="e">
        <f>AND(#REF!,"AAAAAEvf1xk=")</f>
        <v>#REF!</v>
      </c>
      <c r="AA4" t="e">
        <f>AND(#REF!,"AAAAAEvf1xo=")</f>
        <v>#REF!</v>
      </c>
      <c r="AB4" t="e">
        <f>AND(#REF!,"AAAAAEvf1xs=")</f>
        <v>#REF!</v>
      </c>
      <c r="AC4" t="e">
        <f>IF(#REF!,"AAAAAEvf1xw=",0)</f>
        <v>#REF!</v>
      </c>
      <c r="AD4" t="e">
        <f>AND(#REF!,"AAAAAEvf1x0=")</f>
        <v>#REF!</v>
      </c>
      <c r="AE4" t="e">
        <f>AND(#REF!,"AAAAAEvf1x4=")</f>
        <v>#REF!</v>
      </c>
      <c r="AF4" t="e">
        <f>AND(#REF!,"AAAAAEvf1x8=")</f>
        <v>#REF!</v>
      </c>
      <c r="AG4" t="e">
        <f>IF(#REF!,"AAAAAEvf1yA=",0)</f>
        <v>#REF!</v>
      </c>
      <c r="AH4" t="e">
        <f>AND(#REF!,"AAAAAEvf1yE=")</f>
        <v>#REF!</v>
      </c>
      <c r="AI4" t="e">
        <f>AND(#REF!,"AAAAAEvf1yI=")</f>
        <v>#REF!</v>
      </c>
      <c r="AJ4" t="e">
        <f>AND(#REF!,"AAAAAEvf1yM=")</f>
        <v>#REF!</v>
      </c>
      <c r="AK4" t="e">
        <f>IF(#REF!,"AAAAAEvf1yQ=",0)</f>
        <v>#REF!</v>
      </c>
      <c r="AL4" t="e">
        <f>AND(#REF!,"AAAAAEvf1yU=")</f>
        <v>#REF!</v>
      </c>
      <c r="AM4" t="e">
        <f>AND(#REF!,"AAAAAEvf1yY=")</f>
        <v>#REF!</v>
      </c>
      <c r="AN4" t="e">
        <f>AND(#REF!,"AAAAAEvf1yc=")</f>
        <v>#REF!</v>
      </c>
      <c r="AO4" t="e">
        <f>IF(#REF!,"AAAAAEvf1yg=",0)</f>
        <v>#REF!</v>
      </c>
      <c r="AP4" t="e">
        <f>AND(#REF!,"AAAAAEvf1yk=")</f>
        <v>#REF!</v>
      </c>
      <c r="AQ4" t="e">
        <f>AND(#REF!,"AAAAAEvf1yo=")</f>
        <v>#REF!</v>
      </c>
      <c r="AR4" t="e">
        <f>AND(#REF!,"AAAAAEvf1ys=")</f>
        <v>#REF!</v>
      </c>
      <c r="AS4" t="e">
        <f>IF(#REF!,"AAAAAEvf1yw=",0)</f>
        <v>#REF!</v>
      </c>
      <c r="AT4" t="e">
        <f>AND(#REF!,"AAAAAEvf1y0=")</f>
        <v>#REF!</v>
      </c>
      <c r="AU4" t="e">
        <f>AND(#REF!,"AAAAAEvf1y4=")</f>
        <v>#REF!</v>
      </c>
      <c r="AV4" t="e">
        <f>AND(#REF!,"AAAAAEvf1y8=")</f>
        <v>#REF!</v>
      </c>
      <c r="AW4" t="e">
        <f>IF(#REF!,"AAAAAEvf1zA=",0)</f>
        <v>#REF!</v>
      </c>
      <c r="AX4" t="e">
        <f>AND(#REF!,"AAAAAEvf1zE=")</f>
        <v>#REF!</v>
      </c>
      <c r="AY4" t="e">
        <f>AND(#REF!,"AAAAAEvf1zI=")</f>
        <v>#REF!</v>
      </c>
      <c r="AZ4" t="e">
        <f>AND(#REF!,"AAAAAEvf1zM=")</f>
        <v>#REF!</v>
      </c>
      <c r="BA4" t="e">
        <f>IF(#REF!,"AAAAAEvf1zQ=",0)</f>
        <v>#REF!</v>
      </c>
      <c r="BB4" t="e">
        <f>AND(#REF!,"AAAAAEvf1zU=")</f>
        <v>#REF!</v>
      </c>
      <c r="BC4" t="e">
        <f>AND(#REF!,"AAAAAEvf1zY=")</f>
        <v>#REF!</v>
      </c>
      <c r="BD4" t="e">
        <f>AND(#REF!,"AAAAAEvf1zc=")</f>
        <v>#REF!</v>
      </c>
      <c r="BE4" t="e">
        <f>IF(#REF!,"AAAAAEvf1zg=",0)</f>
        <v>#REF!</v>
      </c>
      <c r="BF4" t="e">
        <f>IF(#REF!,"AAAAAEvf1zk=",0)</f>
        <v>#REF!</v>
      </c>
      <c r="BG4" t="e">
        <f>IF(#REF!,"AAAAAEvf1zo=",0)</f>
        <v>#REF!</v>
      </c>
      <c r="BH4" t="e">
        <f>IF(#REF!,"AAAAAEvf1zs=",0)</f>
        <v>#REF!</v>
      </c>
      <c r="BI4" t="e">
        <f>IF(#REF!,"AAAAAEvf1zw=",0)</f>
        <v>#REF!</v>
      </c>
      <c r="BJ4" t="e">
        <f>IF(#REF!,"AAAAAEvf1z0=",0)</f>
        <v>#REF!</v>
      </c>
      <c r="BK4" t="e">
        <f>IF(#REF!,"AAAAAEvf1z4=",0)</f>
        <v>#REF!</v>
      </c>
      <c r="BL4" t="e">
        <f>IF(#REF!,"AAAAAEvf1z8=",0)</f>
        <v>#REF!</v>
      </c>
      <c r="BM4" t="e">
        <f>IF(#REF!,"AAAAAEvf10A=",0)</f>
        <v>#REF!</v>
      </c>
      <c r="BN4" t="e">
        <f>IF(#REF!,"AAAAAEvf10E=",0)</f>
        <v>#REF!</v>
      </c>
      <c r="BO4" t="e">
        <f>IF(#REF!,"AAAAAEvf10I=",0)</f>
        <v>#REF!</v>
      </c>
      <c r="BP4" t="e">
        <f>IF(#REF!,"AAAAAEvf10M=",0)</f>
        <v>#REF!</v>
      </c>
      <c r="BQ4" t="e">
        <f>IF(#REF!,"AAAAAEvf10Q=",0)</f>
        <v>#REF!</v>
      </c>
      <c r="BR4" t="e">
        <f>IF(#REF!,"AAAAAEvf10U=",0)</f>
        <v>#REF!</v>
      </c>
      <c r="BS4" t="e">
        <f>IF(#REF!,"AAAAAEvf10Y=",0)</f>
        <v>#REF!</v>
      </c>
      <c r="BT4" t="e">
        <f>IF(#REF!,"AAAAAEvf10c=",0)</f>
        <v>#REF!</v>
      </c>
      <c r="BU4" t="e">
        <f>IF(#REF!,"AAAAAEvf10g=",0)</f>
        <v>#REF!</v>
      </c>
      <c r="BV4" t="e">
        <f>IF(#REF!,"AAAAAEvf10k=",0)</f>
        <v>#REF!</v>
      </c>
      <c r="BW4" s="1" t="s">
        <v>1</v>
      </c>
      <c r="BX4" s="2" t="s">
        <v>2</v>
      </c>
      <c r="BY4" t="s">
        <v>3</v>
      </c>
      <c r="BZ4" s="3" t="s">
        <v>4</v>
      </c>
      <c r="CA4" s="4" t="s">
        <v>5</v>
      </c>
      <c r="CB4" s="5" t="s">
        <v>6</v>
      </c>
      <c r="CC4" s="6" t="s">
        <v>7</v>
      </c>
      <c r="CD4" t="e">
        <f>IF("N",[0]!_xlnm.Print_Area,"AAAAAEvf11E=")</f>
        <v>#VALUE!</v>
      </c>
    </row>
  </sheetData>
  <phoneticPr fontId="9"/>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75D73-DF43-488F-BB26-94B78DF110B0}">
  <dimension ref="A1:O81"/>
  <sheetViews>
    <sheetView showGridLines="0" topLeftCell="B10" zoomScale="115" zoomScaleNormal="115" zoomScaleSheetLayoutView="85" zoomScalePageLayoutView="70" workbookViewId="0">
      <selection activeCell="M13" sqref="M13"/>
    </sheetView>
  </sheetViews>
  <sheetFormatPr defaultColWidth="9.42578125" defaultRowHeight="12.75"/>
  <cols>
    <col min="1" max="1" width="3" style="13" bestFit="1" customWidth="1"/>
    <col min="2" max="2" width="20" style="13" bestFit="1" customWidth="1"/>
    <col min="3" max="3" width="53" style="24" bestFit="1" customWidth="1"/>
    <col min="4" max="4" width="3.85546875" style="13" customWidth="1"/>
    <col min="5" max="5" width="9.28515625" style="13" bestFit="1" customWidth="1"/>
    <col min="6" max="6" width="4.28515625" style="13" bestFit="1" customWidth="1"/>
    <col min="7" max="7" width="13.7109375" style="13" bestFit="1" customWidth="1"/>
    <col min="8" max="8" width="8.5703125" style="13" bestFit="1" customWidth="1"/>
    <col min="9" max="9" width="16.5703125" style="15" bestFit="1" customWidth="1"/>
    <col min="10" max="10" width="0.85546875" style="15" hidden="1" customWidth="1"/>
    <col min="11" max="11" width="9.42578125" style="16" hidden="1" customWidth="1"/>
    <col min="12" max="12" width="19.5703125" style="16" customWidth="1"/>
    <col min="13" max="13" width="13.28515625" style="24" bestFit="1" customWidth="1"/>
    <col min="14" max="14" width="11.85546875" style="24" bestFit="1" customWidth="1"/>
    <col min="15" max="15" width="11.140625" style="24" bestFit="1" customWidth="1"/>
    <col min="16" max="16384" width="9.42578125" style="24"/>
  </cols>
  <sheetData>
    <row r="1" spans="1:15" ht="63" customHeight="1">
      <c r="A1" s="108"/>
      <c r="B1" s="109"/>
      <c r="C1" s="109"/>
      <c r="D1" s="109"/>
      <c r="E1" s="109"/>
      <c r="F1" s="109"/>
      <c r="G1" s="109"/>
      <c r="H1" s="109"/>
      <c r="I1" s="109"/>
      <c r="J1" s="109"/>
      <c r="K1" s="109"/>
      <c r="L1" s="110"/>
    </row>
    <row r="2" spans="1:15" ht="15" customHeight="1">
      <c r="A2" s="111" t="s">
        <v>51</v>
      </c>
      <c r="B2" s="112"/>
      <c r="C2" s="131" t="s">
        <v>147</v>
      </c>
      <c r="D2" s="132"/>
      <c r="E2" s="120" t="s">
        <v>46</v>
      </c>
      <c r="F2" s="120"/>
      <c r="G2" s="120"/>
      <c r="H2" s="120"/>
      <c r="I2" s="120"/>
      <c r="J2" s="121" t="s">
        <v>148</v>
      </c>
      <c r="K2" s="122"/>
      <c r="L2" s="123"/>
    </row>
    <row r="3" spans="1:15" ht="15" customHeight="1">
      <c r="A3" s="105"/>
      <c r="B3" s="113"/>
      <c r="C3" s="133"/>
      <c r="D3" s="134"/>
      <c r="E3" s="120" t="s">
        <v>47</v>
      </c>
      <c r="F3" s="120"/>
      <c r="G3" s="120"/>
      <c r="H3" s="120"/>
      <c r="I3" s="120"/>
      <c r="J3" s="124">
        <v>45887</v>
      </c>
      <c r="K3" s="125"/>
      <c r="L3" s="126"/>
    </row>
    <row r="4" spans="1:15" ht="15" customHeight="1">
      <c r="A4" s="105"/>
      <c r="B4" s="113"/>
      <c r="C4" s="133"/>
      <c r="D4" s="134"/>
      <c r="E4" s="120" t="s">
        <v>48</v>
      </c>
      <c r="F4" s="120"/>
      <c r="G4" s="120"/>
      <c r="H4" s="120"/>
      <c r="I4" s="120"/>
      <c r="J4" s="121" t="s">
        <v>103</v>
      </c>
      <c r="K4" s="122"/>
      <c r="L4" s="123"/>
    </row>
    <row r="5" spans="1:15" ht="48.75" customHeight="1">
      <c r="A5" s="105"/>
      <c r="B5" s="113"/>
      <c r="C5" s="133"/>
      <c r="D5" s="134"/>
      <c r="E5" s="120" t="s">
        <v>49</v>
      </c>
      <c r="F5" s="120"/>
      <c r="G5" s="120"/>
      <c r="H5" s="120"/>
      <c r="I5" s="120"/>
      <c r="J5" s="124"/>
      <c r="K5" s="125"/>
      <c r="L5" s="126"/>
    </row>
    <row r="6" spans="1:15" ht="15" customHeight="1">
      <c r="A6" s="105"/>
      <c r="B6" s="113"/>
      <c r="C6" s="91"/>
      <c r="D6" s="57"/>
      <c r="E6" s="130" t="s">
        <v>50</v>
      </c>
      <c r="F6" s="130"/>
      <c r="G6" s="130"/>
      <c r="H6" s="130"/>
      <c r="I6" s="130"/>
      <c r="J6" s="121" t="s">
        <v>70</v>
      </c>
      <c r="K6" s="122"/>
      <c r="L6" s="123"/>
    </row>
    <row r="7" spans="1:15" ht="15" customHeight="1">
      <c r="A7" s="105"/>
      <c r="B7" s="113"/>
      <c r="C7" s="91"/>
      <c r="D7" s="57"/>
      <c r="E7" s="130" t="s">
        <v>64</v>
      </c>
      <c r="F7" s="130"/>
      <c r="G7" s="130"/>
      <c r="H7" s="130"/>
      <c r="I7" s="130"/>
      <c r="J7" s="88">
        <v>9844912500</v>
      </c>
      <c r="K7" s="89"/>
      <c r="L7" s="90"/>
    </row>
    <row r="8" spans="1:15">
      <c r="A8" s="114"/>
      <c r="B8" s="115"/>
      <c r="C8" s="91"/>
      <c r="D8" s="57"/>
      <c r="E8" s="135"/>
      <c r="F8" s="135"/>
      <c r="G8" s="135"/>
      <c r="H8" s="136"/>
      <c r="I8" s="137"/>
      <c r="J8" s="135"/>
      <c r="K8" s="136"/>
      <c r="L8" s="138"/>
    </row>
    <row r="9" spans="1:15" ht="9" customHeight="1">
      <c r="A9" s="96" t="s">
        <v>52</v>
      </c>
      <c r="B9" s="97"/>
      <c r="C9" s="97"/>
      <c r="D9" s="97"/>
      <c r="E9" s="97"/>
      <c r="F9" s="97"/>
      <c r="G9" s="97"/>
      <c r="H9" s="97"/>
      <c r="I9" s="97"/>
      <c r="J9" s="97"/>
      <c r="K9" s="97"/>
      <c r="L9" s="98"/>
    </row>
    <row r="10" spans="1:15" ht="37.700000000000003" customHeight="1">
      <c r="A10" s="139" t="s">
        <v>65</v>
      </c>
      <c r="B10" s="140"/>
      <c r="C10" s="140"/>
      <c r="D10" s="140"/>
      <c r="E10" s="140"/>
      <c r="F10" s="140"/>
      <c r="G10" s="140"/>
      <c r="H10" s="140"/>
      <c r="I10" s="140"/>
      <c r="J10" s="140"/>
      <c r="K10" s="140"/>
      <c r="L10" s="141"/>
    </row>
    <row r="11" spans="1:15" s="25" customFormat="1" ht="45" customHeight="1">
      <c r="A11" s="20" t="s">
        <v>67</v>
      </c>
      <c r="B11" s="142" t="s">
        <v>66</v>
      </c>
      <c r="C11" s="142" t="s">
        <v>45</v>
      </c>
      <c r="D11" s="142" t="s">
        <v>86</v>
      </c>
      <c r="E11" s="142" t="s">
        <v>72</v>
      </c>
      <c r="F11" s="142" t="s">
        <v>0</v>
      </c>
      <c r="G11" s="143" t="s">
        <v>84</v>
      </c>
      <c r="H11" s="144" t="s">
        <v>71</v>
      </c>
      <c r="I11" s="143" t="s">
        <v>83</v>
      </c>
      <c r="J11" s="143"/>
      <c r="K11" s="143"/>
      <c r="L11" s="143" t="s">
        <v>85</v>
      </c>
      <c r="M11" s="143" t="s">
        <v>179</v>
      </c>
    </row>
    <row r="12" spans="1:15" s="26" customFormat="1">
      <c r="A12" s="22">
        <v>1</v>
      </c>
      <c r="B12" s="145" t="s">
        <v>112</v>
      </c>
      <c r="C12" s="145" t="s">
        <v>130</v>
      </c>
      <c r="D12" s="146" t="s">
        <v>110</v>
      </c>
      <c r="E12" s="10"/>
      <c r="F12" s="146">
        <v>2</v>
      </c>
      <c r="G12" s="29">
        <v>828782</v>
      </c>
      <c r="H12" s="29"/>
      <c r="I12" s="29"/>
      <c r="J12" s="29"/>
      <c r="K12" s="29"/>
      <c r="L12" s="33">
        <f>G12*F12</f>
        <v>1657564</v>
      </c>
      <c r="M12" s="40" t="s">
        <v>180</v>
      </c>
      <c r="N12" s="28"/>
    </row>
    <row r="13" spans="1:15" s="26" customFormat="1">
      <c r="A13" s="22">
        <v>2</v>
      </c>
      <c r="B13" s="145" t="s">
        <v>113</v>
      </c>
      <c r="C13" s="145" t="s">
        <v>131</v>
      </c>
      <c r="D13" s="146" t="s">
        <v>110</v>
      </c>
      <c r="E13" s="10"/>
      <c r="F13" s="146">
        <v>2</v>
      </c>
      <c r="G13" s="29">
        <v>0</v>
      </c>
      <c r="H13" s="29"/>
      <c r="I13" s="29"/>
      <c r="J13" s="29"/>
      <c r="K13" s="29"/>
      <c r="L13" s="33">
        <f t="shared" ref="L13:L43" si="0">G13*F13</f>
        <v>0</v>
      </c>
      <c r="M13" s="40" t="s">
        <v>180</v>
      </c>
      <c r="N13" s="28"/>
    </row>
    <row r="14" spans="1:15" s="26" customFormat="1">
      <c r="A14" s="22">
        <v>3</v>
      </c>
      <c r="B14" s="145" t="s">
        <v>114</v>
      </c>
      <c r="C14" s="145" t="s">
        <v>132</v>
      </c>
      <c r="D14" s="146">
        <v>36</v>
      </c>
      <c r="E14" s="10"/>
      <c r="F14" s="146">
        <v>2</v>
      </c>
      <c r="G14" s="29">
        <v>367436</v>
      </c>
      <c r="H14" s="29"/>
      <c r="I14" s="29"/>
      <c r="J14" s="29"/>
      <c r="K14" s="29"/>
      <c r="L14" s="33">
        <f t="shared" si="0"/>
        <v>734872</v>
      </c>
      <c r="M14" s="40" t="s">
        <v>180</v>
      </c>
      <c r="N14" s="28"/>
      <c r="O14" s="28"/>
    </row>
    <row r="15" spans="1:15" s="26" customFormat="1">
      <c r="A15" s="22">
        <v>4</v>
      </c>
      <c r="B15" s="145" t="s">
        <v>115</v>
      </c>
      <c r="C15" s="145" t="s">
        <v>133</v>
      </c>
      <c r="D15" s="146" t="s">
        <v>110</v>
      </c>
      <c r="E15" s="10"/>
      <c r="F15" s="146">
        <v>4</v>
      </c>
      <c r="G15" s="29">
        <v>0</v>
      </c>
      <c r="H15" s="29"/>
      <c r="I15" s="29"/>
      <c r="J15" s="29"/>
      <c r="K15" s="29"/>
      <c r="L15" s="33">
        <f t="shared" si="0"/>
        <v>0</v>
      </c>
      <c r="M15" s="40" t="s">
        <v>180</v>
      </c>
      <c r="N15" s="28"/>
    </row>
    <row r="16" spans="1:15" s="26" customFormat="1">
      <c r="A16" s="22">
        <v>5</v>
      </c>
      <c r="B16" s="145" t="s">
        <v>116</v>
      </c>
      <c r="C16" s="145" t="s">
        <v>134</v>
      </c>
      <c r="D16" s="146" t="s">
        <v>110</v>
      </c>
      <c r="E16" s="10"/>
      <c r="F16" s="146">
        <v>2</v>
      </c>
      <c r="G16" s="29">
        <v>0</v>
      </c>
      <c r="H16" s="29"/>
      <c r="I16" s="29"/>
      <c r="J16" s="29"/>
      <c r="K16" s="29"/>
      <c r="L16" s="33">
        <f t="shared" si="0"/>
        <v>0</v>
      </c>
      <c r="M16" s="40" t="s">
        <v>180</v>
      </c>
      <c r="N16" s="28"/>
    </row>
    <row r="17" spans="1:14" s="26" customFormat="1">
      <c r="A17" s="22">
        <v>6</v>
      </c>
      <c r="B17" s="145" t="s">
        <v>117</v>
      </c>
      <c r="C17" s="145" t="s">
        <v>134</v>
      </c>
      <c r="D17" s="146" t="s">
        <v>110</v>
      </c>
      <c r="E17" s="10"/>
      <c r="F17" s="146">
        <v>2</v>
      </c>
      <c r="G17" s="29">
        <v>68370</v>
      </c>
      <c r="H17" s="29"/>
      <c r="I17" s="29"/>
      <c r="J17" s="29"/>
      <c r="K17" s="29"/>
      <c r="L17" s="33">
        <f t="shared" si="0"/>
        <v>136740</v>
      </c>
      <c r="M17" s="40" t="s">
        <v>180</v>
      </c>
      <c r="N17" s="28"/>
    </row>
    <row r="18" spans="1:14" s="26" customFormat="1">
      <c r="A18" s="22">
        <v>7</v>
      </c>
      <c r="B18" s="145" t="s">
        <v>118</v>
      </c>
      <c r="C18" s="145" t="s">
        <v>135</v>
      </c>
      <c r="D18" s="146" t="s">
        <v>110</v>
      </c>
      <c r="E18" s="10"/>
      <c r="F18" s="146">
        <v>2</v>
      </c>
      <c r="G18" s="29">
        <v>0</v>
      </c>
      <c r="H18" s="29"/>
      <c r="I18" s="29"/>
      <c r="J18" s="29"/>
      <c r="K18" s="29"/>
      <c r="L18" s="33">
        <f t="shared" si="0"/>
        <v>0</v>
      </c>
      <c r="M18" s="40" t="s">
        <v>180</v>
      </c>
      <c r="N18" s="28"/>
    </row>
    <row r="19" spans="1:14" s="26" customFormat="1">
      <c r="A19" s="22">
        <v>8</v>
      </c>
      <c r="B19" s="145" t="s">
        <v>119</v>
      </c>
      <c r="C19" s="145" t="s">
        <v>136</v>
      </c>
      <c r="D19" s="146" t="s">
        <v>110</v>
      </c>
      <c r="E19" s="10"/>
      <c r="F19" s="146">
        <v>4</v>
      </c>
      <c r="G19" s="29">
        <v>0</v>
      </c>
      <c r="H19" s="29"/>
      <c r="I19" s="29"/>
      <c r="J19" s="29"/>
      <c r="K19" s="29"/>
      <c r="L19" s="33">
        <f t="shared" si="0"/>
        <v>0</v>
      </c>
      <c r="M19" s="40" t="s">
        <v>180</v>
      </c>
      <c r="N19" s="28"/>
    </row>
    <row r="20" spans="1:14" s="26" customFormat="1">
      <c r="A20" s="22">
        <v>9</v>
      </c>
      <c r="B20" s="145" t="s">
        <v>120</v>
      </c>
      <c r="C20" s="145" t="s">
        <v>137</v>
      </c>
      <c r="D20" s="146" t="s">
        <v>110</v>
      </c>
      <c r="E20" s="10"/>
      <c r="F20" s="146">
        <v>2</v>
      </c>
      <c r="G20" s="29">
        <v>0</v>
      </c>
      <c r="H20" s="29"/>
      <c r="I20" s="29"/>
      <c r="J20" s="29"/>
      <c r="K20" s="29"/>
      <c r="L20" s="33">
        <f t="shared" si="0"/>
        <v>0</v>
      </c>
      <c r="M20" s="40" t="s">
        <v>180</v>
      </c>
      <c r="N20" s="28"/>
    </row>
    <row r="21" spans="1:14" s="26" customFormat="1">
      <c r="A21" s="22">
        <v>10</v>
      </c>
      <c r="B21" s="145" t="s">
        <v>154</v>
      </c>
      <c r="C21" s="145" t="s">
        <v>157</v>
      </c>
      <c r="D21" s="146" t="s">
        <v>110</v>
      </c>
      <c r="E21" s="10"/>
      <c r="F21" s="146">
        <v>2</v>
      </c>
      <c r="G21" s="29">
        <v>0</v>
      </c>
      <c r="H21" s="29"/>
      <c r="I21" s="29"/>
      <c r="J21" s="29"/>
      <c r="K21" s="29"/>
      <c r="L21" s="33">
        <f t="shared" si="0"/>
        <v>0</v>
      </c>
      <c r="M21" s="40" t="s">
        <v>180</v>
      </c>
      <c r="N21" s="28"/>
    </row>
    <row r="22" spans="1:14" s="26" customFormat="1">
      <c r="A22" s="22">
        <v>11</v>
      </c>
      <c r="B22" s="145" t="s">
        <v>121</v>
      </c>
      <c r="C22" s="145" t="s">
        <v>99</v>
      </c>
      <c r="D22" s="146" t="s">
        <v>110</v>
      </c>
      <c r="E22" s="10"/>
      <c r="F22" s="146">
        <v>2</v>
      </c>
      <c r="G22" s="29">
        <v>0</v>
      </c>
      <c r="H22" s="29"/>
      <c r="I22" s="29"/>
      <c r="J22" s="29"/>
      <c r="K22" s="29"/>
      <c r="L22" s="33">
        <f t="shared" si="0"/>
        <v>0</v>
      </c>
      <c r="M22" s="40" t="s">
        <v>180</v>
      </c>
      <c r="N22" s="28"/>
    </row>
    <row r="23" spans="1:14" s="26" customFormat="1">
      <c r="A23" s="22">
        <v>12</v>
      </c>
      <c r="B23" s="145" t="s">
        <v>122</v>
      </c>
      <c r="C23" s="145" t="s">
        <v>138</v>
      </c>
      <c r="D23" s="146" t="s">
        <v>110</v>
      </c>
      <c r="E23" s="10"/>
      <c r="F23" s="146">
        <v>2</v>
      </c>
      <c r="G23" s="29">
        <v>0</v>
      </c>
      <c r="H23" s="29"/>
      <c r="I23" s="29"/>
      <c r="J23" s="29"/>
      <c r="K23" s="29"/>
      <c r="L23" s="33">
        <f t="shared" si="0"/>
        <v>0</v>
      </c>
      <c r="M23" s="40" t="s">
        <v>180</v>
      </c>
      <c r="N23" s="28"/>
    </row>
    <row r="24" spans="1:14" s="26" customFormat="1">
      <c r="A24" s="22">
        <v>13</v>
      </c>
      <c r="B24" s="145" t="s">
        <v>89</v>
      </c>
      <c r="C24" s="145" t="s">
        <v>90</v>
      </c>
      <c r="D24" s="146" t="s">
        <v>110</v>
      </c>
      <c r="E24" s="10"/>
      <c r="F24" s="146">
        <v>2</v>
      </c>
      <c r="G24" s="29">
        <v>0</v>
      </c>
      <c r="H24" s="29"/>
      <c r="I24" s="29"/>
      <c r="J24" s="29"/>
      <c r="K24" s="29"/>
      <c r="L24" s="33">
        <f t="shared" si="0"/>
        <v>0</v>
      </c>
      <c r="M24" s="40" t="s">
        <v>180</v>
      </c>
      <c r="N24" s="28"/>
    </row>
    <row r="25" spans="1:14" s="26" customFormat="1">
      <c r="A25" s="22">
        <v>14</v>
      </c>
      <c r="B25" s="145" t="s">
        <v>123</v>
      </c>
      <c r="C25" s="145" t="s">
        <v>139</v>
      </c>
      <c r="D25" s="146" t="s">
        <v>110</v>
      </c>
      <c r="E25" s="10"/>
      <c r="F25" s="146">
        <v>18</v>
      </c>
      <c r="G25" s="29">
        <v>346750</v>
      </c>
      <c r="H25" s="29"/>
      <c r="I25" s="29"/>
      <c r="J25" s="29"/>
      <c r="K25" s="29"/>
      <c r="L25" s="33">
        <f t="shared" si="0"/>
        <v>6241500</v>
      </c>
      <c r="M25" s="40" t="s">
        <v>180</v>
      </c>
      <c r="N25" s="28"/>
    </row>
    <row r="26" spans="1:14" s="26" customFormat="1">
      <c r="A26" s="22">
        <v>15</v>
      </c>
      <c r="B26" s="145" t="s">
        <v>124</v>
      </c>
      <c r="C26" s="145" t="s">
        <v>140</v>
      </c>
      <c r="D26" s="146" t="s">
        <v>110</v>
      </c>
      <c r="E26" s="10"/>
      <c r="F26" s="146">
        <v>18</v>
      </c>
      <c r="G26" s="29">
        <v>0</v>
      </c>
      <c r="H26" s="29"/>
      <c r="I26" s="29"/>
      <c r="J26" s="29"/>
      <c r="K26" s="29"/>
      <c r="L26" s="33">
        <f t="shared" si="0"/>
        <v>0</v>
      </c>
      <c r="M26" s="40" t="s">
        <v>180</v>
      </c>
      <c r="N26" s="28"/>
    </row>
    <row r="27" spans="1:14" s="26" customFormat="1">
      <c r="A27" s="22">
        <v>16</v>
      </c>
      <c r="B27" s="145" t="s">
        <v>125</v>
      </c>
      <c r="C27" s="145" t="s">
        <v>141</v>
      </c>
      <c r="D27" s="146">
        <v>36</v>
      </c>
      <c r="E27" s="10"/>
      <c r="F27" s="146">
        <v>18</v>
      </c>
      <c r="G27" s="29">
        <v>34011</v>
      </c>
      <c r="H27" s="29"/>
      <c r="I27" s="29"/>
      <c r="J27" s="29"/>
      <c r="K27" s="29"/>
      <c r="L27" s="33">
        <f t="shared" si="0"/>
        <v>612198</v>
      </c>
      <c r="M27" s="40" t="s">
        <v>180</v>
      </c>
      <c r="N27" s="28"/>
    </row>
    <row r="28" spans="1:14" s="26" customFormat="1">
      <c r="A28" s="22">
        <v>17</v>
      </c>
      <c r="B28" s="145" t="s">
        <v>126</v>
      </c>
      <c r="C28" s="145" t="s">
        <v>142</v>
      </c>
      <c r="D28" s="146" t="s">
        <v>110</v>
      </c>
      <c r="E28" s="10"/>
      <c r="F28" s="146">
        <v>18</v>
      </c>
      <c r="G28" s="29">
        <v>0</v>
      </c>
      <c r="H28" s="29"/>
      <c r="I28" s="29"/>
      <c r="J28" s="29"/>
      <c r="K28" s="29"/>
      <c r="L28" s="33">
        <f t="shared" si="0"/>
        <v>0</v>
      </c>
      <c r="M28" s="40" t="s">
        <v>180</v>
      </c>
      <c r="N28" s="28"/>
    </row>
    <row r="29" spans="1:14" s="26" customFormat="1">
      <c r="A29" s="22">
        <v>18</v>
      </c>
      <c r="B29" s="145" t="s">
        <v>91</v>
      </c>
      <c r="C29" s="145" t="s">
        <v>97</v>
      </c>
      <c r="D29" s="146" t="s">
        <v>110</v>
      </c>
      <c r="E29" s="10"/>
      <c r="F29" s="146">
        <v>18</v>
      </c>
      <c r="G29" s="29">
        <v>0</v>
      </c>
      <c r="H29" s="29"/>
      <c r="I29" s="29"/>
      <c r="J29" s="29"/>
      <c r="K29" s="29"/>
      <c r="L29" s="33">
        <f t="shared" si="0"/>
        <v>0</v>
      </c>
      <c r="M29" s="40" t="s">
        <v>180</v>
      </c>
      <c r="N29" s="28"/>
    </row>
    <row r="30" spans="1:14" s="26" customFormat="1">
      <c r="A30" s="22">
        <v>19</v>
      </c>
      <c r="B30" s="145" t="s">
        <v>155</v>
      </c>
      <c r="C30" s="145" t="s">
        <v>158</v>
      </c>
      <c r="D30" s="146" t="s">
        <v>110</v>
      </c>
      <c r="E30" s="10"/>
      <c r="F30" s="146">
        <v>18</v>
      </c>
      <c r="G30" s="29">
        <v>0</v>
      </c>
      <c r="H30" s="29"/>
      <c r="I30" s="29"/>
      <c r="J30" s="29"/>
      <c r="K30" s="29"/>
      <c r="L30" s="33">
        <f t="shared" si="0"/>
        <v>0</v>
      </c>
      <c r="M30" s="40" t="s">
        <v>180</v>
      </c>
      <c r="N30" s="28"/>
    </row>
    <row r="31" spans="1:14" s="26" customFormat="1">
      <c r="A31" s="22">
        <v>20</v>
      </c>
      <c r="B31" s="145" t="s">
        <v>92</v>
      </c>
      <c r="C31" s="145" t="s">
        <v>98</v>
      </c>
      <c r="D31" s="146" t="s">
        <v>110</v>
      </c>
      <c r="E31" s="10"/>
      <c r="F31" s="146">
        <v>18</v>
      </c>
      <c r="G31" s="29">
        <v>0</v>
      </c>
      <c r="H31" s="29"/>
      <c r="I31" s="29"/>
      <c r="J31" s="29"/>
      <c r="K31" s="29"/>
      <c r="L31" s="33">
        <f t="shared" si="0"/>
        <v>0</v>
      </c>
      <c r="M31" s="40" t="s">
        <v>180</v>
      </c>
      <c r="N31" s="28"/>
    </row>
    <row r="32" spans="1:14" s="26" customFormat="1">
      <c r="A32" s="22">
        <v>21</v>
      </c>
      <c r="B32" s="145" t="s">
        <v>93</v>
      </c>
      <c r="C32" s="145" t="s">
        <v>99</v>
      </c>
      <c r="D32" s="146" t="s">
        <v>110</v>
      </c>
      <c r="E32" s="10"/>
      <c r="F32" s="146">
        <v>18</v>
      </c>
      <c r="G32" s="29">
        <v>0</v>
      </c>
      <c r="H32" s="29"/>
      <c r="I32" s="29"/>
      <c r="J32" s="29"/>
      <c r="K32" s="29"/>
      <c r="L32" s="33">
        <f t="shared" si="0"/>
        <v>0</v>
      </c>
      <c r="M32" s="40" t="s">
        <v>180</v>
      </c>
      <c r="N32" s="28"/>
    </row>
    <row r="33" spans="1:14" s="26" customFormat="1">
      <c r="A33" s="22">
        <v>22</v>
      </c>
      <c r="B33" s="145" t="s">
        <v>108</v>
      </c>
      <c r="C33" s="145" t="s">
        <v>109</v>
      </c>
      <c r="D33" s="146" t="s">
        <v>110</v>
      </c>
      <c r="E33" s="10"/>
      <c r="F33" s="146">
        <v>18</v>
      </c>
      <c r="G33" s="29">
        <v>3037</v>
      </c>
      <c r="H33" s="29"/>
      <c r="I33" s="29"/>
      <c r="J33" s="29"/>
      <c r="K33" s="29"/>
      <c r="L33" s="33">
        <f t="shared" si="0"/>
        <v>54666</v>
      </c>
      <c r="M33" s="40" t="s">
        <v>180</v>
      </c>
      <c r="N33" s="28"/>
    </row>
    <row r="34" spans="1:14" s="26" customFormat="1">
      <c r="A34" s="22">
        <v>23</v>
      </c>
      <c r="B34" s="145" t="s">
        <v>106</v>
      </c>
      <c r="C34" s="145" t="s">
        <v>107</v>
      </c>
      <c r="D34" s="146" t="s">
        <v>110</v>
      </c>
      <c r="E34" s="10"/>
      <c r="F34" s="146">
        <v>18</v>
      </c>
      <c r="G34" s="29">
        <v>2885</v>
      </c>
      <c r="H34" s="29"/>
      <c r="I34" s="29"/>
      <c r="J34" s="29"/>
      <c r="K34" s="29"/>
      <c r="L34" s="33">
        <f t="shared" si="0"/>
        <v>51930</v>
      </c>
      <c r="M34" s="40" t="s">
        <v>180</v>
      </c>
      <c r="N34" s="28"/>
    </row>
    <row r="35" spans="1:14" s="26" customFormat="1">
      <c r="A35" s="22">
        <v>24</v>
      </c>
      <c r="B35" s="145" t="s">
        <v>94</v>
      </c>
      <c r="C35" s="145" t="s">
        <v>100</v>
      </c>
      <c r="D35" s="146" t="s">
        <v>110</v>
      </c>
      <c r="E35" s="10"/>
      <c r="F35" s="146">
        <v>18</v>
      </c>
      <c r="G35" s="29">
        <v>0</v>
      </c>
      <c r="H35" s="29"/>
      <c r="I35" s="29"/>
      <c r="J35" s="29"/>
      <c r="K35" s="29"/>
      <c r="L35" s="33">
        <f t="shared" si="0"/>
        <v>0</v>
      </c>
      <c r="M35" s="40" t="s">
        <v>180</v>
      </c>
      <c r="N35" s="28"/>
    </row>
    <row r="36" spans="1:14" s="26" customFormat="1">
      <c r="A36" s="22">
        <v>25</v>
      </c>
      <c r="B36" s="145" t="s">
        <v>95</v>
      </c>
      <c r="C36" s="145" t="s">
        <v>101</v>
      </c>
      <c r="D36" s="146" t="s">
        <v>110</v>
      </c>
      <c r="E36" s="10"/>
      <c r="F36" s="146">
        <v>18</v>
      </c>
      <c r="G36" s="29">
        <v>0</v>
      </c>
      <c r="H36" s="29"/>
      <c r="I36" s="29"/>
      <c r="J36" s="29"/>
      <c r="K36" s="29"/>
      <c r="L36" s="33">
        <f t="shared" si="0"/>
        <v>0</v>
      </c>
      <c r="M36" s="40" t="s">
        <v>180</v>
      </c>
      <c r="N36" s="28"/>
    </row>
    <row r="37" spans="1:14" s="26" customFormat="1">
      <c r="A37" s="22">
        <v>26</v>
      </c>
      <c r="B37" s="145" t="s">
        <v>96</v>
      </c>
      <c r="C37" s="145" t="s">
        <v>102</v>
      </c>
      <c r="D37" s="146" t="s">
        <v>110</v>
      </c>
      <c r="E37" s="10"/>
      <c r="F37" s="146">
        <v>18</v>
      </c>
      <c r="G37" s="29">
        <v>0</v>
      </c>
      <c r="H37" s="29"/>
      <c r="I37" s="29"/>
      <c r="J37" s="29"/>
      <c r="K37" s="29"/>
      <c r="L37" s="33">
        <f t="shared" si="0"/>
        <v>0</v>
      </c>
      <c r="M37" s="40" t="s">
        <v>180</v>
      </c>
      <c r="N37" s="28"/>
    </row>
    <row r="38" spans="1:14" s="26" customFormat="1">
      <c r="A38" s="22">
        <v>27</v>
      </c>
      <c r="B38" s="145" t="s">
        <v>104</v>
      </c>
      <c r="C38" s="145" t="s">
        <v>105</v>
      </c>
      <c r="D38" s="146" t="s">
        <v>110</v>
      </c>
      <c r="E38" s="10"/>
      <c r="F38" s="146">
        <v>18</v>
      </c>
      <c r="G38" s="29">
        <v>77435</v>
      </c>
      <c r="H38" s="29"/>
      <c r="I38" s="29"/>
      <c r="J38" s="29"/>
      <c r="K38" s="29"/>
      <c r="L38" s="33">
        <f t="shared" si="0"/>
        <v>1393830</v>
      </c>
      <c r="M38" s="40" t="s">
        <v>180</v>
      </c>
      <c r="N38" s="28"/>
    </row>
    <row r="39" spans="1:14" s="26" customFormat="1">
      <c r="A39" s="22">
        <v>28</v>
      </c>
      <c r="B39" s="145" t="s">
        <v>89</v>
      </c>
      <c r="C39" s="145" t="s">
        <v>90</v>
      </c>
      <c r="D39" s="146" t="s">
        <v>110</v>
      </c>
      <c r="E39" s="10"/>
      <c r="F39" s="146">
        <v>18</v>
      </c>
      <c r="G39" s="29">
        <v>0</v>
      </c>
      <c r="H39" s="29"/>
      <c r="I39" s="29"/>
      <c r="J39" s="29"/>
      <c r="K39" s="29"/>
      <c r="L39" s="33">
        <f t="shared" si="0"/>
        <v>0</v>
      </c>
      <c r="M39" s="40" t="s">
        <v>180</v>
      </c>
      <c r="N39" s="28"/>
    </row>
    <row r="40" spans="1:14" s="26" customFormat="1">
      <c r="A40" s="22">
        <v>29</v>
      </c>
      <c r="B40" s="145" t="s">
        <v>156</v>
      </c>
      <c r="C40" s="145" t="s">
        <v>159</v>
      </c>
      <c r="D40" s="146" t="s">
        <v>110</v>
      </c>
      <c r="E40" s="10"/>
      <c r="F40" s="146">
        <v>18</v>
      </c>
      <c r="G40" s="29">
        <v>0</v>
      </c>
      <c r="H40" s="29"/>
      <c r="I40" s="29"/>
      <c r="J40" s="29"/>
      <c r="K40" s="29"/>
      <c r="L40" s="33">
        <f t="shared" si="0"/>
        <v>0</v>
      </c>
      <c r="M40" s="40" t="s">
        <v>180</v>
      </c>
      <c r="N40" s="28"/>
    </row>
    <row r="41" spans="1:14" s="26" customFormat="1">
      <c r="A41" s="22">
        <v>30</v>
      </c>
      <c r="B41" s="145" t="s">
        <v>127</v>
      </c>
      <c r="C41" s="145" t="s">
        <v>143</v>
      </c>
      <c r="D41" s="146" t="s">
        <v>110</v>
      </c>
      <c r="E41" s="10"/>
      <c r="F41" s="146">
        <v>50</v>
      </c>
      <c r="G41" s="29">
        <v>38092</v>
      </c>
      <c r="H41" s="29"/>
      <c r="I41" s="29"/>
      <c r="J41" s="29"/>
      <c r="K41" s="29"/>
      <c r="L41" s="33">
        <f t="shared" si="0"/>
        <v>1904600</v>
      </c>
      <c r="M41" s="40" t="s">
        <v>180</v>
      </c>
      <c r="N41" s="28"/>
    </row>
    <row r="42" spans="1:14" s="26" customFormat="1">
      <c r="A42" s="22">
        <v>31</v>
      </c>
      <c r="B42" s="145" t="s">
        <v>128</v>
      </c>
      <c r="C42" s="145" t="s">
        <v>144</v>
      </c>
      <c r="D42" s="146" t="s">
        <v>110</v>
      </c>
      <c r="E42" s="10"/>
      <c r="F42" s="146">
        <v>30</v>
      </c>
      <c r="G42" s="29">
        <v>19142</v>
      </c>
      <c r="H42" s="29"/>
      <c r="I42" s="29"/>
      <c r="J42" s="29"/>
      <c r="K42" s="29"/>
      <c r="L42" s="33">
        <f t="shared" si="0"/>
        <v>574260</v>
      </c>
      <c r="M42" s="40" t="s">
        <v>180</v>
      </c>
      <c r="N42" s="28"/>
    </row>
    <row r="43" spans="1:14" s="26" customFormat="1">
      <c r="A43" s="22">
        <v>32</v>
      </c>
      <c r="B43" s="145" t="s">
        <v>129</v>
      </c>
      <c r="C43" s="145" t="s">
        <v>145</v>
      </c>
      <c r="D43" s="146" t="s">
        <v>110</v>
      </c>
      <c r="E43" s="10"/>
      <c r="F43" s="146">
        <v>40</v>
      </c>
      <c r="G43" s="29">
        <v>17228</v>
      </c>
      <c r="H43" s="29"/>
      <c r="I43" s="29"/>
      <c r="J43" s="29"/>
      <c r="K43" s="29"/>
      <c r="L43" s="33">
        <f t="shared" si="0"/>
        <v>689120</v>
      </c>
      <c r="M43" s="40" t="s">
        <v>180</v>
      </c>
      <c r="N43" s="28"/>
    </row>
    <row r="44" spans="1:14" s="26" customFormat="1">
      <c r="A44" s="22">
        <v>33</v>
      </c>
      <c r="B44" s="146" t="s">
        <v>146</v>
      </c>
      <c r="C44" s="146" t="s">
        <v>146</v>
      </c>
      <c r="D44" s="146">
        <v>14</v>
      </c>
      <c r="E44" s="10"/>
      <c r="F44" s="146">
        <v>20</v>
      </c>
      <c r="G44" s="29">
        <v>8000</v>
      </c>
      <c r="H44" s="29"/>
      <c r="I44" s="29"/>
      <c r="J44" s="29"/>
      <c r="K44" s="29"/>
      <c r="L44" s="33">
        <f t="shared" ref="L44" si="1">G44*F44</f>
        <v>160000</v>
      </c>
      <c r="M44" s="40">
        <v>998733</v>
      </c>
      <c r="N44" s="28"/>
    </row>
    <row r="45" spans="1:14" s="26" customFormat="1">
      <c r="A45" s="21"/>
      <c r="B45" s="147"/>
      <c r="C45" s="17" t="s">
        <v>81</v>
      </c>
      <c r="D45" s="18"/>
      <c r="E45" s="19"/>
      <c r="F45" s="19"/>
      <c r="G45" s="100">
        <f>SUM(L12:L44)</f>
        <v>14211280</v>
      </c>
      <c r="H45" s="100"/>
      <c r="I45" s="100"/>
      <c r="J45" s="100" t="e">
        <f>SUM(#REF!)</f>
        <v>#REF!</v>
      </c>
      <c r="K45" s="100" t="e">
        <f t="shared" ref="K45:L45" si="2">J45</f>
        <v>#REF!</v>
      </c>
      <c r="L45" s="100" t="e">
        <f t="shared" si="2"/>
        <v>#REF!</v>
      </c>
      <c r="M45" s="38">
        <f>G45</f>
        <v>14211280</v>
      </c>
    </row>
    <row r="46" spans="1:14" s="26" customFormat="1">
      <c r="A46" s="21"/>
      <c r="B46" s="147"/>
      <c r="C46" s="12" t="s">
        <v>82</v>
      </c>
      <c r="D46" s="9"/>
      <c r="E46" s="10"/>
      <c r="F46" s="10"/>
      <c r="G46" s="101">
        <f>G45*18%</f>
        <v>2558030.4</v>
      </c>
      <c r="H46" s="101"/>
      <c r="I46" s="101"/>
      <c r="J46" s="101" t="e">
        <f>J45*18%</f>
        <v>#REF!</v>
      </c>
      <c r="K46" s="101"/>
      <c r="L46" s="101"/>
    </row>
    <row r="47" spans="1:14" s="26" customFormat="1">
      <c r="A47" s="21"/>
      <c r="B47" s="147"/>
      <c r="C47" s="17" t="s">
        <v>81</v>
      </c>
      <c r="D47" s="18"/>
      <c r="E47" s="19"/>
      <c r="F47" s="19"/>
      <c r="G47" s="100">
        <f>G46+G45</f>
        <v>16769310.4</v>
      </c>
      <c r="H47" s="100"/>
      <c r="I47" s="100"/>
      <c r="J47" s="100" t="e">
        <f>J45+J46</f>
        <v>#REF!</v>
      </c>
      <c r="K47" s="100"/>
      <c r="L47" s="100"/>
    </row>
    <row r="48" spans="1:14" ht="18.95" customHeight="1">
      <c r="A48" s="102" t="s">
        <v>68</v>
      </c>
      <c r="B48" s="103"/>
      <c r="C48" s="103"/>
      <c r="D48" s="103"/>
      <c r="E48" s="103"/>
      <c r="F48" s="103"/>
      <c r="G48" s="103"/>
      <c r="H48" s="103"/>
      <c r="I48" s="103"/>
      <c r="J48" s="103"/>
      <c r="K48" s="103"/>
      <c r="L48" s="104"/>
    </row>
    <row r="49" spans="1:12" ht="21" customHeight="1">
      <c r="A49" s="105" t="s">
        <v>15</v>
      </c>
      <c r="B49" s="106"/>
      <c r="C49" s="106"/>
      <c r="D49" s="106"/>
      <c r="E49" s="106"/>
      <c r="F49" s="106"/>
      <c r="G49" s="106"/>
      <c r="H49" s="106"/>
      <c r="I49" s="106"/>
      <c r="J49" s="106"/>
      <c r="K49" s="106"/>
      <c r="L49" s="107"/>
    </row>
    <row r="50" spans="1:12">
      <c r="A50" s="83" t="s">
        <v>8</v>
      </c>
      <c r="B50" s="84"/>
      <c r="C50" s="85" t="s">
        <v>13</v>
      </c>
      <c r="D50" s="85"/>
      <c r="E50" s="85"/>
      <c r="F50" s="85"/>
      <c r="G50" s="85"/>
      <c r="H50" s="85"/>
      <c r="I50" s="85"/>
      <c r="J50" s="85"/>
      <c r="K50" s="85"/>
      <c r="L50" s="86"/>
    </row>
    <row r="51" spans="1:12">
      <c r="A51" s="83" t="s">
        <v>9</v>
      </c>
      <c r="B51" s="84"/>
      <c r="C51" s="85" t="s">
        <v>87</v>
      </c>
      <c r="D51" s="85"/>
      <c r="E51" s="85"/>
      <c r="F51" s="85"/>
      <c r="G51" s="85"/>
      <c r="H51" s="85"/>
      <c r="I51" s="85"/>
      <c r="J51" s="85"/>
      <c r="K51" s="85"/>
      <c r="L51" s="86"/>
    </row>
    <row r="52" spans="1:12">
      <c r="A52" s="83" t="s">
        <v>53</v>
      </c>
      <c r="B52" s="84"/>
      <c r="C52" s="87">
        <v>0.18</v>
      </c>
      <c r="D52" s="85"/>
      <c r="E52" s="85"/>
      <c r="F52" s="85"/>
      <c r="G52" s="85"/>
      <c r="H52" s="85"/>
      <c r="I52" s="85"/>
      <c r="J52" s="85"/>
      <c r="K52" s="85"/>
      <c r="L52" s="86"/>
    </row>
    <row r="53" spans="1:12">
      <c r="A53" s="83" t="s">
        <v>10</v>
      </c>
      <c r="B53" s="84"/>
      <c r="C53" s="85" t="s">
        <v>111</v>
      </c>
      <c r="D53" s="85"/>
      <c r="E53" s="85"/>
      <c r="F53" s="85"/>
      <c r="G53" s="85"/>
      <c r="H53" s="85"/>
      <c r="I53" s="85"/>
      <c r="J53" s="85"/>
      <c r="K53" s="85"/>
      <c r="L53" s="86"/>
    </row>
    <row r="54" spans="1:12">
      <c r="A54" s="83" t="s">
        <v>11</v>
      </c>
      <c r="B54" s="84"/>
      <c r="C54" s="85" t="s">
        <v>12</v>
      </c>
      <c r="D54" s="85"/>
      <c r="E54" s="85"/>
      <c r="F54" s="85"/>
      <c r="G54" s="85"/>
      <c r="H54" s="85"/>
      <c r="I54" s="85"/>
      <c r="J54" s="85"/>
      <c r="K54" s="85"/>
      <c r="L54" s="86"/>
    </row>
    <row r="55" spans="1:12">
      <c r="A55" s="83" t="s">
        <v>14</v>
      </c>
      <c r="B55" s="84"/>
      <c r="C55" s="85" t="s">
        <v>55</v>
      </c>
      <c r="D55" s="85"/>
      <c r="E55" s="85"/>
      <c r="F55" s="85"/>
      <c r="G55" s="85"/>
      <c r="H55" s="85"/>
      <c r="I55" s="85"/>
      <c r="J55" s="85"/>
      <c r="K55" s="85"/>
      <c r="L55" s="86"/>
    </row>
    <row r="56" spans="1:12" ht="33" customHeight="1">
      <c r="A56" s="83" t="s">
        <v>61</v>
      </c>
      <c r="B56" s="84"/>
      <c r="C56" s="148" t="s">
        <v>80</v>
      </c>
      <c r="D56" s="149"/>
      <c r="E56" s="149"/>
      <c r="F56" s="149"/>
      <c r="G56" s="149"/>
      <c r="H56" s="149"/>
      <c r="I56" s="149"/>
      <c r="J56" s="149"/>
      <c r="K56" s="149"/>
      <c r="L56" s="150"/>
    </row>
    <row r="57" spans="1:12">
      <c r="A57" s="151" t="s">
        <v>62</v>
      </c>
      <c r="B57" s="152"/>
      <c r="C57" s="85" t="s">
        <v>74</v>
      </c>
      <c r="D57" s="85"/>
      <c r="E57" s="85"/>
      <c r="F57" s="85"/>
      <c r="G57" s="85"/>
      <c r="H57" s="85"/>
      <c r="I57" s="85"/>
      <c r="J57" s="85"/>
      <c r="K57" s="85"/>
      <c r="L57" s="86"/>
    </row>
    <row r="58" spans="1:12" ht="33" customHeight="1">
      <c r="A58" s="153"/>
      <c r="B58" s="154"/>
      <c r="C58" s="85" t="s">
        <v>75</v>
      </c>
      <c r="D58" s="85"/>
      <c r="E58" s="85"/>
      <c r="F58" s="85"/>
      <c r="G58" s="85"/>
      <c r="H58" s="85"/>
      <c r="I58" s="85"/>
      <c r="J58" s="85"/>
      <c r="K58" s="85"/>
      <c r="L58" s="86"/>
    </row>
    <row r="59" spans="1:12">
      <c r="A59" s="153"/>
      <c r="B59" s="154"/>
      <c r="C59" s="85"/>
      <c r="D59" s="85"/>
      <c r="E59" s="85"/>
      <c r="F59" s="85"/>
      <c r="G59" s="85"/>
      <c r="H59" s="85"/>
      <c r="I59" s="85"/>
      <c r="J59" s="85"/>
      <c r="K59" s="85"/>
      <c r="L59" s="86"/>
    </row>
    <row r="60" spans="1:12">
      <c r="A60" s="153"/>
      <c r="B60" s="154"/>
      <c r="C60" s="85" t="s">
        <v>76</v>
      </c>
      <c r="D60" s="85"/>
      <c r="E60" s="85"/>
      <c r="F60" s="85"/>
      <c r="G60" s="85"/>
      <c r="H60" s="85"/>
      <c r="I60" s="85"/>
      <c r="J60" s="85"/>
      <c r="K60" s="85"/>
      <c r="L60" s="86"/>
    </row>
    <row r="61" spans="1:12" ht="19.5" customHeight="1">
      <c r="A61" s="153"/>
      <c r="B61" s="154"/>
      <c r="C61" s="148" t="s">
        <v>77</v>
      </c>
      <c r="D61" s="149"/>
      <c r="E61" s="149"/>
      <c r="F61" s="149"/>
      <c r="G61" s="149"/>
      <c r="H61" s="149"/>
      <c r="I61" s="149"/>
      <c r="J61" s="149"/>
      <c r="K61" s="149"/>
      <c r="L61" s="150"/>
    </row>
    <row r="62" spans="1:12">
      <c r="A62" s="153"/>
      <c r="B62" s="154"/>
      <c r="C62" s="85" t="s">
        <v>78</v>
      </c>
      <c r="D62" s="85"/>
      <c r="E62" s="85"/>
      <c r="F62" s="85"/>
      <c r="G62" s="85"/>
      <c r="H62" s="85"/>
      <c r="I62" s="85"/>
      <c r="J62" s="85"/>
      <c r="K62" s="85"/>
      <c r="L62" s="86"/>
    </row>
    <row r="63" spans="1:12">
      <c r="A63" s="153"/>
      <c r="B63" s="154"/>
      <c r="C63" s="155" t="s">
        <v>73</v>
      </c>
      <c r="D63" s="156"/>
      <c r="E63" s="156"/>
      <c r="F63" s="156"/>
      <c r="G63" s="156"/>
      <c r="H63" s="156"/>
      <c r="I63" s="156"/>
      <c r="J63" s="156"/>
      <c r="K63" s="156"/>
      <c r="L63" s="157"/>
    </row>
    <row r="64" spans="1:12">
      <c r="A64" s="153"/>
      <c r="B64" s="154"/>
      <c r="C64" s="155" t="s">
        <v>79</v>
      </c>
      <c r="D64" s="156"/>
      <c r="E64" s="156"/>
      <c r="F64" s="156"/>
      <c r="G64" s="156"/>
      <c r="H64" s="156"/>
      <c r="I64" s="156"/>
      <c r="J64" s="156"/>
      <c r="K64" s="156"/>
      <c r="L64" s="157"/>
    </row>
    <row r="65" spans="1:12">
      <c r="A65" s="139" t="s">
        <v>63</v>
      </c>
      <c r="B65" s="140"/>
      <c r="C65" s="158" t="s">
        <v>69</v>
      </c>
      <c r="D65" s="158"/>
      <c r="E65" s="158"/>
      <c r="F65" s="158"/>
      <c r="G65" s="158"/>
      <c r="H65" s="158"/>
      <c r="I65" s="158"/>
      <c r="J65" s="158"/>
      <c r="K65" s="158"/>
      <c r="L65" s="159"/>
    </row>
    <row r="66" spans="1:12" ht="18.75" customHeight="1">
      <c r="A66" s="160" t="s">
        <v>44</v>
      </c>
      <c r="B66" s="161"/>
      <c r="C66" s="161"/>
      <c r="D66" s="161"/>
      <c r="E66" s="161"/>
      <c r="F66" s="161"/>
      <c r="G66" s="161"/>
      <c r="H66" s="161"/>
      <c r="I66" s="161"/>
      <c r="J66" s="161"/>
      <c r="K66" s="161"/>
      <c r="L66" s="162"/>
    </row>
    <row r="67" spans="1:12">
      <c r="A67" s="163" t="s">
        <v>16</v>
      </c>
      <c r="B67" s="164"/>
      <c r="C67" s="165" t="s">
        <v>56</v>
      </c>
      <c r="D67" s="165" t="s">
        <v>17</v>
      </c>
      <c r="E67" s="165" t="s">
        <v>17</v>
      </c>
      <c r="F67" s="165"/>
      <c r="G67" s="165"/>
      <c r="H67" s="165"/>
      <c r="I67" s="165" t="s">
        <v>17</v>
      </c>
      <c r="J67" s="165"/>
      <c r="K67" s="165" t="s">
        <v>17</v>
      </c>
      <c r="L67" s="166" t="s">
        <v>17</v>
      </c>
    </row>
    <row r="68" spans="1:12">
      <c r="A68" s="56" t="s">
        <v>18</v>
      </c>
      <c r="B68" s="57"/>
      <c r="C68" s="43" t="s">
        <v>54</v>
      </c>
      <c r="D68" s="43" t="s">
        <v>19</v>
      </c>
      <c r="E68" s="43" t="s">
        <v>19</v>
      </c>
      <c r="F68" s="43"/>
      <c r="G68" s="43"/>
      <c r="H68" s="43"/>
      <c r="I68" s="43" t="s">
        <v>19</v>
      </c>
      <c r="J68" s="43"/>
      <c r="K68" s="43" t="s">
        <v>19</v>
      </c>
      <c r="L68" s="44" t="s">
        <v>19</v>
      </c>
    </row>
    <row r="69" spans="1:12">
      <c r="A69" s="83" t="s">
        <v>20</v>
      </c>
      <c r="B69" s="84"/>
      <c r="C69" s="43" t="s">
        <v>57</v>
      </c>
      <c r="D69" s="43" t="s">
        <v>21</v>
      </c>
      <c r="E69" s="43" t="s">
        <v>21</v>
      </c>
      <c r="F69" s="43"/>
      <c r="G69" s="43"/>
      <c r="H69" s="43"/>
      <c r="I69" s="43" t="s">
        <v>21</v>
      </c>
      <c r="J69" s="43"/>
      <c r="K69" s="43" t="s">
        <v>21</v>
      </c>
      <c r="L69" s="44" t="s">
        <v>21</v>
      </c>
    </row>
    <row r="70" spans="1:12" ht="27.75" customHeight="1">
      <c r="A70" s="56" t="s">
        <v>22</v>
      </c>
      <c r="B70" s="57"/>
      <c r="C70" s="43" t="s">
        <v>23</v>
      </c>
      <c r="D70" s="43" t="s">
        <v>23</v>
      </c>
      <c r="E70" s="43" t="s">
        <v>23</v>
      </c>
      <c r="F70" s="43"/>
      <c r="G70" s="43"/>
      <c r="H70" s="43"/>
      <c r="I70" s="43" t="s">
        <v>23</v>
      </c>
      <c r="J70" s="43"/>
      <c r="K70" s="43" t="s">
        <v>23</v>
      </c>
      <c r="L70" s="44" t="s">
        <v>23</v>
      </c>
    </row>
    <row r="71" spans="1:12">
      <c r="A71" s="83" t="s">
        <v>24</v>
      </c>
      <c r="B71" s="84"/>
      <c r="C71" s="43" t="s">
        <v>60</v>
      </c>
      <c r="D71" s="43" t="s">
        <v>25</v>
      </c>
      <c r="E71" s="43" t="s">
        <v>25</v>
      </c>
      <c r="F71" s="43"/>
      <c r="G71" s="43"/>
      <c r="H71" s="43"/>
      <c r="I71" s="43" t="s">
        <v>25</v>
      </c>
      <c r="J71" s="43"/>
      <c r="K71" s="43" t="s">
        <v>25</v>
      </c>
      <c r="L71" s="44" t="s">
        <v>25</v>
      </c>
    </row>
    <row r="72" spans="1:12">
      <c r="A72" s="83" t="s">
        <v>26</v>
      </c>
      <c r="B72" s="84"/>
      <c r="C72" s="43" t="s">
        <v>58</v>
      </c>
      <c r="D72" s="43" t="s">
        <v>27</v>
      </c>
      <c r="E72" s="43" t="s">
        <v>27</v>
      </c>
      <c r="F72" s="43"/>
      <c r="G72" s="43"/>
      <c r="H72" s="43"/>
      <c r="I72" s="43" t="s">
        <v>27</v>
      </c>
      <c r="J72" s="43"/>
      <c r="K72" s="43" t="s">
        <v>27</v>
      </c>
      <c r="L72" s="44" t="s">
        <v>27</v>
      </c>
    </row>
    <row r="73" spans="1:12">
      <c r="A73" s="83" t="s">
        <v>28</v>
      </c>
      <c r="B73" s="84"/>
      <c r="C73" s="43" t="s">
        <v>29</v>
      </c>
      <c r="D73" s="43" t="s">
        <v>29</v>
      </c>
      <c r="E73" s="43" t="s">
        <v>29</v>
      </c>
      <c r="F73" s="43"/>
      <c r="G73" s="43"/>
      <c r="H73" s="43"/>
      <c r="I73" s="43" t="s">
        <v>29</v>
      </c>
      <c r="J73" s="43"/>
      <c r="K73" s="43" t="s">
        <v>29</v>
      </c>
      <c r="L73" s="44" t="s">
        <v>29</v>
      </c>
    </row>
    <row r="74" spans="1:12">
      <c r="A74" s="83" t="s">
        <v>30</v>
      </c>
      <c r="B74" s="84"/>
      <c r="C74" s="43" t="s">
        <v>31</v>
      </c>
      <c r="D74" s="43" t="s">
        <v>31</v>
      </c>
      <c r="E74" s="43" t="s">
        <v>31</v>
      </c>
      <c r="F74" s="43"/>
      <c r="G74" s="43"/>
      <c r="H74" s="43"/>
      <c r="I74" s="43" t="s">
        <v>31</v>
      </c>
      <c r="J74" s="43"/>
      <c r="K74" s="43" t="s">
        <v>31</v>
      </c>
      <c r="L74" s="44" t="s">
        <v>31</v>
      </c>
    </row>
    <row r="75" spans="1:12" s="27" customFormat="1">
      <c r="A75" s="54" t="s">
        <v>32</v>
      </c>
      <c r="B75" s="55"/>
      <c r="C75" s="43" t="s">
        <v>33</v>
      </c>
      <c r="D75" s="43" t="s">
        <v>33</v>
      </c>
      <c r="E75" s="43" t="s">
        <v>33</v>
      </c>
      <c r="F75" s="43"/>
      <c r="G75" s="43"/>
      <c r="H75" s="43"/>
      <c r="I75" s="43" t="s">
        <v>33</v>
      </c>
      <c r="J75" s="43"/>
      <c r="K75" s="43" t="s">
        <v>33</v>
      </c>
      <c r="L75" s="44" t="s">
        <v>33</v>
      </c>
    </row>
    <row r="76" spans="1:12" s="27" customFormat="1" ht="75.75" customHeight="1">
      <c r="A76" s="56" t="s">
        <v>34</v>
      </c>
      <c r="B76" s="57"/>
      <c r="C76" s="43" t="s">
        <v>35</v>
      </c>
      <c r="D76" s="43" t="s">
        <v>35</v>
      </c>
      <c r="E76" s="43" t="s">
        <v>35</v>
      </c>
      <c r="F76" s="43"/>
      <c r="G76" s="43"/>
      <c r="H76" s="43"/>
      <c r="I76" s="43" t="s">
        <v>35</v>
      </c>
      <c r="J76" s="43"/>
      <c r="K76" s="43" t="s">
        <v>35</v>
      </c>
      <c r="L76" s="44" t="s">
        <v>35</v>
      </c>
    </row>
    <row r="77" spans="1:12" s="27" customFormat="1">
      <c r="A77" s="58" t="s">
        <v>36</v>
      </c>
      <c r="B77" s="59"/>
      <c r="C77" s="43" t="s">
        <v>37</v>
      </c>
      <c r="D77" s="43" t="s">
        <v>37</v>
      </c>
      <c r="E77" s="43" t="s">
        <v>37</v>
      </c>
      <c r="F77" s="43"/>
      <c r="G77" s="43"/>
      <c r="H77" s="43"/>
      <c r="I77" s="43" t="s">
        <v>37</v>
      </c>
      <c r="J77" s="43"/>
      <c r="K77" s="43" t="s">
        <v>37</v>
      </c>
      <c r="L77" s="44" t="s">
        <v>37</v>
      </c>
    </row>
    <row r="78" spans="1:12" s="27" customFormat="1" ht="100.5" customHeight="1">
      <c r="A78" s="56" t="s">
        <v>38</v>
      </c>
      <c r="B78" s="57"/>
      <c r="C78" s="43" t="s">
        <v>59</v>
      </c>
      <c r="D78" s="43" t="s">
        <v>39</v>
      </c>
      <c r="E78" s="43" t="s">
        <v>39</v>
      </c>
      <c r="F78" s="43"/>
      <c r="G78" s="43"/>
      <c r="H78" s="43"/>
      <c r="I78" s="43" t="s">
        <v>39</v>
      </c>
      <c r="J78" s="43"/>
      <c r="K78" s="43" t="s">
        <v>39</v>
      </c>
      <c r="L78" s="44" t="s">
        <v>39</v>
      </c>
    </row>
    <row r="79" spans="1:12" ht="48.75" customHeight="1">
      <c r="A79" s="83" t="s">
        <v>40</v>
      </c>
      <c r="B79" s="84"/>
      <c r="C79" s="43" t="s">
        <v>41</v>
      </c>
      <c r="D79" s="43" t="s">
        <v>41</v>
      </c>
      <c r="E79" s="43" t="s">
        <v>41</v>
      </c>
      <c r="F79" s="43"/>
      <c r="G79" s="43"/>
      <c r="H79" s="43"/>
      <c r="I79" s="43" t="s">
        <v>41</v>
      </c>
      <c r="J79" s="43"/>
      <c r="K79" s="43" t="s">
        <v>41</v>
      </c>
      <c r="L79" s="44" t="s">
        <v>41</v>
      </c>
    </row>
    <row r="80" spans="1:12" ht="13.5" thickBot="1">
      <c r="A80" s="167" t="s">
        <v>42</v>
      </c>
      <c r="B80" s="168"/>
      <c r="C80" s="169" t="s">
        <v>88</v>
      </c>
      <c r="D80" s="170" t="s">
        <v>43</v>
      </c>
      <c r="E80" s="170" t="s">
        <v>43</v>
      </c>
      <c r="F80" s="170"/>
      <c r="G80" s="170"/>
      <c r="H80" s="170"/>
      <c r="I80" s="170" t="s">
        <v>43</v>
      </c>
      <c r="J80" s="170"/>
      <c r="K80" s="170" t="s">
        <v>43</v>
      </c>
      <c r="L80" s="171" t="s">
        <v>43</v>
      </c>
    </row>
    <row r="81" spans="1:12" s="23" customFormat="1">
      <c r="A81" s="11"/>
      <c r="B81" s="11"/>
      <c r="C81" s="11"/>
      <c r="D81" s="11"/>
      <c r="E81" s="11"/>
      <c r="F81" s="11"/>
      <c r="G81" s="11"/>
      <c r="H81" s="11"/>
      <c r="I81" s="11"/>
      <c r="J81" s="11"/>
      <c r="K81" s="11"/>
      <c r="L81" s="11"/>
    </row>
  </sheetData>
  <mergeCells count="81">
    <mergeCell ref="A1:L1"/>
    <mergeCell ref="A2:B8"/>
    <mergeCell ref="C2:D5"/>
    <mergeCell ref="E2:I2"/>
    <mergeCell ref="J2:L2"/>
    <mergeCell ref="E3:I3"/>
    <mergeCell ref="J3:L3"/>
    <mergeCell ref="E4:I4"/>
    <mergeCell ref="J4:L4"/>
    <mergeCell ref="E5:I5"/>
    <mergeCell ref="J5:L5"/>
    <mergeCell ref="C6:D6"/>
    <mergeCell ref="E6:I6"/>
    <mergeCell ref="J6:L6"/>
    <mergeCell ref="C7:D7"/>
    <mergeCell ref="E7:I7"/>
    <mergeCell ref="J7:L7"/>
    <mergeCell ref="A50:B50"/>
    <mergeCell ref="C50:L50"/>
    <mergeCell ref="C8:D8"/>
    <mergeCell ref="E8:I8"/>
    <mergeCell ref="J8:L8"/>
    <mergeCell ref="A9:L9"/>
    <mergeCell ref="A10:L10"/>
    <mergeCell ref="G45:L45"/>
    <mergeCell ref="G46:L46"/>
    <mergeCell ref="G47:L47"/>
    <mergeCell ref="A48:L48"/>
    <mergeCell ref="A49:L49"/>
    <mergeCell ref="A51:B51"/>
    <mergeCell ref="C51:L51"/>
    <mergeCell ref="A52:B52"/>
    <mergeCell ref="C52:L52"/>
    <mergeCell ref="A53:B53"/>
    <mergeCell ref="C53:L53"/>
    <mergeCell ref="A54:B54"/>
    <mergeCell ref="C54:L54"/>
    <mergeCell ref="A55:B55"/>
    <mergeCell ref="C55:L55"/>
    <mergeCell ref="A56:B56"/>
    <mergeCell ref="C56:L56"/>
    <mergeCell ref="A68:B68"/>
    <mergeCell ref="C68:L68"/>
    <mergeCell ref="A57:B64"/>
    <mergeCell ref="C57:L57"/>
    <mergeCell ref="C58:L58"/>
    <mergeCell ref="C59:L59"/>
    <mergeCell ref="C60:L60"/>
    <mergeCell ref="C61:L61"/>
    <mergeCell ref="C62:L62"/>
    <mergeCell ref="C63:L63"/>
    <mergeCell ref="C64:L64"/>
    <mergeCell ref="A65:B65"/>
    <mergeCell ref="C65:L65"/>
    <mergeCell ref="A66:L66"/>
    <mergeCell ref="A67:B67"/>
    <mergeCell ref="C67:L67"/>
    <mergeCell ref="A69:B69"/>
    <mergeCell ref="C69:L69"/>
    <mergeCell ref="A70:B70"/>
    <mergeCell ref="C70:L70"/>
    <mergeCell ref="A71:B71"/>
    <mergeCell ref="C71:L71"/>
    <mergeCell ref="A72:B72"/>
    <mergeCell ref="C72:L72"/>
    <mergeCell ref="A73:B73"/>
    <mergeCell ref="C73:L73"/>
    <mergeCell ref="A74:B74"/>
    <mergeCell ref="C74:L74"/>
    <mergeCell ref="A75:B75"/>
    <mergeCell ref="C75:L75"/>
    <mergeCell ref="A76:B76"/>
    <mergeCell ref="C76:L76"/>
    <mergeCell ref="A77:B77"/>
    <mergeCell ref="C77:L77"/>
    <mergeCell ref="A78:B78"/>
    <mergeCell ref="C78:L78"/>
    <mergeCell ref="A79:B79"/>
    <mergeCell ref="C79:L79"/>
    <mergeCell ref="A80:B80"/>
    <mergeCell ref="C80:L80"/>
  </mergeCells>
  <hyperlinks>
    <hyperlink ref="C80" r:id="rId1" xr:uid="{5E1C4999-72CA-4370-9526-438853996927}"/>
  </hyperlinks>
  <printOptions horizontalCentered="1" verticalCentered="1"/>
  <pageMargins left="7.8740157480315001E-2" right="7.8740157480315001E-2" top="7.8740157480315001E-2" bottom="7.8740157480315001E-2" header="7.8740157480315001E-2" footer="7.8740157480315001E-2"/>
  <pageSetup paperSize="8" orientation="portrait" r:id="rId2"/>
  <headerFooter>
    <oddHeader>&amp;C&amp;G</oddHeader>
    <oddFooter>&amp;C
&amp;R&amp;P / &amp;N</oddFooter>
  </headerFooter>
  <drawing r:id="rId3"/>
  <legacyDrawingHF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97B20-B14E-4E1D-A825-82DEB8E8F695}">
  <dimension ref="A1:N57"/>
  <sheetViews>
    <sheetView showGridLines="0" tabSelected="1" topLeftCell="D10" zoomScale="115" zoomScaleNormal="115" zoomScaleSheetLayoutView="85" zoomScalePageLayoutView="70" workbookViewId="0">
      <selection activeCell="G18" sqref="G18"/>
    </sheetView>
  </sheetViews>
  <sheetFormatPr defaultColWidth="9.42578125" defaultRowHeight="12.75"/>
  <cols>
    <col min="1" max="1" width="2.7109375" style="13" bestFit="1" customWidth="1"/>
    <col min="2" max="2" width="15.85546875" style="13" customWidth="1"/>
    <col min="3" max="3" width="85.42578125" style="24" bestFit="1" customWidth="1"/>
    <col min="4" max="4" width="3.85546875" style="13" customWidth="1"/>
    <col min="5" max="5" width="9.28515625" style="13" bestFit="1" customWidth="1"/>
    <col min="6" max="6" width="4.28515625" style="13" bestFit="1" customWidth="1"/>
    <col min="7" max="7" width="13.7109375" style="13" bestFit="1" customWidth="1"/>
    <col min="8" max="8" width="8.5703125" style="13" bestFit="1" customWidth="1"/>
    <col min="9" max="9" width="16.5703125" style="15" bestFit="1" customWidth="1"/>
    <col min="10" max="10" width="0.85546875" style="15" hidden="1" customWidth="1"/>
    <col min="11" max="11" width="9.42578125" style="16" hidden="1" customWidth="1"/>
    <col min="12" max="12" width="19.85546875" style="16" customWidth="1"/>
    <col min="13" max="13" width="9" style="13" bestFit="1" customWidth="1"/>
    <col min="14" max="14" width="11.85546875" style="24" bestFit="1" customWidth="1"/>
    <col min="15" max="16384" width="9.42578125" style="24"/>
  </cols>
  <sheetData>
    <row r="1" spans="1:14" ht="63" customHeight="1">
      <c r="A1" s="108"/>
      <c r="B1" s="109"/>
      <c r="C1" s="109"/>
      <c r="D1" s="109"/>
      <c r="E1" s="109"/>
      <c r="F1" s="109"/>
      <c r="G1" s="109"/>
      <c r="H1" s="109"/>
      <c r="I1" s="109"/>
      <c r="J1" s="109"/>
      <c r="K1" s="109"/>
      <c r="L1" s="110"/>
    </row>
    <row r="2" spans="1:14" ht="15" customHeight="1">
      <c r="A2" s="111" t="s">
        <v>51</v>
      </c>
      <c r="B2" s="112"/>
      <c r="C2" s="131" t="s">
        <v>147</v>
      </c>
      <c r="D2" s="132"/>
      <c r="E2" s="120" t="s">
        <v>46</v>
      </c>
      <c r="F2" s="120"/>
      <c r="G2" s="120"/>
      <c r="H2" s="120"/>
      <c r="I2" s="120"/>
      <c r="J2" s="121" t="s">
        <v>148</v>
      </c>
      <c r="K2" s="122"/>
      <c r="L2" s="123"/>
    </row>
    <row r="3" spans="1:14" ht="15" customHeight="1">
      <c r="A3" s="105"/>
      <c r="B3" s="113"/>
      <c r="C3" s="133"/>
      <c r="D3" s="134"/>
      <c r="E3" s="120" t="s">
        <v>47</v>
      </c>
      <c r="F3" s="120"/>
      <c r="G3" s="120"/>
      <c r="H3" s="120"/>
      <c r="I3" s="120"/>
      <c r="J3" s="124">
        <v>45880</v>
      </c>
      <c r="K3" s="125"/>
      <c r="L3" s="126"/>
    </row>
    <row r="4" spans="1:14" ht="15" customHeight="1">
      <c r="A4" s="105"/>
      <c r="B4" s="113"/>
      <c r="C4" s="133"/>
      <c r="D4" s="134"/>
      <c r="E4" s="120" t="s">
        <v>48</v>
      </c>
      <c r="F4" s="120"/>
      <c r="G4" s="120"/>
      <c r="H4" s="120"/>
      <c r="I4" s="120"/>
      <c r="J4" s="121" t="s">
        <v>103</v>
      </c>
      <c r="K4" s="122"/>
      <c r="L4" s="123"/>
    </row>
    <row r="5" spans="1:14" ht="48.75" customHeight="1">
      <c r="A5" s="105"/>
      <c r="B5" s="113"/>
      <c r="C5" s="133"/>
      <c r="D5" s="134"/>
      <c r="E5" s="120" t="s">
        <v>49</v>
      </c>
      <c r="F5" s="120"/>
      <c r="G5" s="120"/>
      <c r="H5" s="120"/>
      <c r="I5" s="120"/>
      <c r="J5" s="124"/>
      <c r="K5" s="125"/>
      <c r="L5" s="126"/>
    </row>
    <row r="6" spans="1:14" ht="15" customHeight="1">
      <c r="A6" s="105"/>
      <c r="B6" s="113"/>
      <c r="C6" s="91"/>
      <c r="D6" s="57"/>
      <c r="E6" s="130" t="s">
        <v>50</v>
      </c>
      <c r="F6" s="130"/>
      <c r="G6" s="130"/>
      <c r="H6" s="130"/>
      <c r="I6" s="130"/>
      <c r="J6" s="121" t="s">
        <v>70</v>
      </c>
      <c r="K6" s="122"/>
      <c r="L6" s="123"/>
    </row>
    <row r="7" spans="1:14" ht="15" customHeight="1">
      <c r="A7" s="105"/>
      <c r="B7" s="113"/>
      <c r="C7" s="91"/>
      <c r="D7" s="57"/>
      <c r="E7" s="130" t="s">
        <v>64</v>
      </c>
      <c r="F7" s="130"/>
      <c r="G7" s="130"/>
      <c r="H7" s="130"/>
      <c r="I7" s="130"/>
      <c r="J7" s="88">
        <v>9844912500</v>
      </c>
      <c r="K7" s="89"/>
      <c r="L7" s="90"/>
    </row>
    <row r="8" spans="1:14">
      <c r="A8" s="114"/>
      <c r="B8" s="115"/>
      <c r="C8" s="91"/>
      <c r="D8" s="57"/>
      <c r="E8" s="135"/>
      <c r="F8" s="135"/>
      <c r="G8" s="135"/>
      <c r="H8" s="136"/>
      <c r="I8" s="137"/>
      <c r="J8" s="135"/>
      <c r="K8" s="136"/>
      <c r="L8" s="138"/>
    </row>
    <row r="9" spans="1:14" ht="9" customHeight="1">
      <c r="A9" s="96" t="s">
        <v>52</v>
      </c>
      <c r="B9" s="97"/>
      <c r="C9" s="97"/>
      <c r="D9" s="97"/>
      <c r="E9" s="97"/>
      <c r="F9" s="97"/>
      <c r="G9" s="97"/>
      <c r="H9" s="97"/>
      <c r="I9" s="97"/>
      <c r="J9" s="97"/>
      <c r="K9" s="97"/>
      <c r="L9" s="98"/>
    </row>
    <row r="10" spans="1:14" ht="37.700000000000003" customHeight="1">
      <c r="A10" s="139" t="s">
        <v>65</v>
      </c>
      <c r="B10" s="140"/>
      <c r="C10" s="140"/>
      <c r="D10" s="140"/>
      <c r="E10" s="140"/>
      <c r="F10" s="140"/>
      <c r="G10" s="140"/>
      <c r="H10" s="140"/>
      <c r="I10" s="140"/>
      <c r="J10" s="140"/>
      <c r="K10" s="140"/>
      <c r="L10" s="141"/>
    </row>
    <row r="11" spans="1:14" s="25" customFormat="1" ht="45" customHeight="1">
      <c r="A11" s="20" t="s">
        <v>67</v>
      </c>
      <c r="B11" s="142" t="s">
        <v>66</v>
      </c>
      <c r="C11" s="142" t="s">
        <v>45</v>
      </c>
      <c r="D11" s="142" t="s">
        <v>86</v>
      </c>
      <c r="E11" s="142" t="s">
        <v>72</v>
      </c>
      <c r="F11" s="142" t="s">
        <v>0</v>
      </c>
      <c r="G11" s="143" t="s">
        <v>84</v>
      </c>
      <c r="H11" s="144" t="s">
        <v>71</v>
      </c>
      <c r="I11" s="143" t="s">
        <v>83</v>
      </c>
      <c r="J11" s="143"/>
      <c r="K11" s="143"/>
      <c r="L11" s="143" t="s">
        <v>85</v>
      </c>
      <c r="M11" s="172" t="s">
        <v>179</v>
      </c>
    </row>
    <row r="12" spans="1:14" s="26" customFormat="1">
      <c r="A12" s="22">
        <v>1</v>
      </c>
      <c r="B12" s="145" t="s">
        <v>170</v>
      </c>
      <c r="C12" s="145" t="s">
        <v>171</v>
      </c>
      <c r="D12" s="10" t="s">
        <v>110</v>
      </c>
      <c r="E12" s="10"/>
      <c r="F12" s="146">
        <v>2</v>
      </c>
      <c r="G12" s="29">
        <v>208258</v>
      </c>
      <c r="H12" s="29"/>
      <c r="I12" s="29"/>
      <c r="J12" s="29"/>
      <c r="K12" s="29"/>
      <c r="L12" s="33">
        <f>G12*F12</f>
        <v>416516</v>
      </c>
      <c r="M12" s="40">
        <v>85176290</v>
      </c>
      <c r="N12" s="28"/>
    </row>
    <row r="13" spans="1:14" s="26" customFormat="1">
      <c r="A13" s="22">
        <v>2</v>
      </c>
      <c r="B13" s="145" t="s">
        <v>172</v>
      </c>
      <c r="C13" s="145" t="s">
        <v>173</v>
      </c>
      <c r="D13" s="10"/>
      <c r="E13" s="10"/>
      <c r="F13" s="146">
        <v>2</v>
      </c>
      <c r="G13" s="29">
        <v>51331</v>
      </c>
      <c r="H13" s="29"/>
      <c r="I13" s="29"/>
      <c r="J13" s="29"/>
      <c r="K13" s="29"/>
      <c r="L13" s="33">
        <f t="shared" ref="L13:L18" si="0">G13*F13</f>
        <v>102662</v>
      </c>
      <c r="M13" s="40">
        <v>85176290</v>
      </c>
      <c r="N13" s="28"/>
    </row>
    <row r="14" spans="1:14" s="26" customFormat="1">
      <c r="A14" s="22">
        <v>3</v>
      </c>
      <c r="B14" s="145" t="s">
        <v>174</v>
      </c>
      <c r="C14" s="145" t="s">
        <v>175</v>
      </c>
      <c r="D14" s="10"/>
      <c r="E14" s="10"/>
      <c r="F14" s="146">
        <v>48</v>
      </c>
      <c r="G14" s="29">
        <v>86046</v>
      </c>
      <c r="H14" s="29"/>
      <c r="I14" s="29"/>
      <c r="J14" s="29"/>
      <c r="K14" s="29"/>
      <c r="L14" s="33">
        <f t="shared" si="0"/>
        <v>4130208</v>
      </c>
      <c r="M14" s="40">
        <v>85176290</v>
      </c>
      <c r="N14" s="28"/>
    </row>
    <row r="15" spans="1:14" s="26" customFormat="1">
      <c r="A15" s="22">
        <v>4</v>
      </c>
      <c r="B15" s="145" t="s">
        <v>149</v>
      </c>
      <c r="C15" s="145" t="s">
        <v>176</v>
      </c>
      <c r="D15" s="10"/>
      <c r="E15" s="10"/>
      <c r="F15" s="146">
        <v>48</v>
      </c>
      <c r="G15" s="29">
        <v>2146</v>
      </c>
      <c r="H15" s="29"/>
      <c r="I15" s="29"/>
      <c r="J15" s="29"/>
      <c r="K15" s="29"/>
      <c r="L15" s="33">
        <f t="shared" si="0"/>
        <v>103008</v>
      </c>
      <c r="M15" s="40">
        <v>85176290</v>
      </c>
      <c r="N15" s="28"/>
    </row>
    <row r="16" spans="1:14" s="26" customFormat="1">
      <c r="A16" s="22">
        <v>5</v>
      </c>
      <c r="B16" s="145" t="s">
        <v>150</v>
      </c>
      <c r="C16" s="145" t="s">
        <v>151</v>
      </c>
      <c r="D16" s="10"/>
      <c r="E16" s="10"/>
      <c r="F16" s="146">
        <v>2</v>
      </c>
      <c r="G16" s="29">
        <v>0</v>
      </c>
      <c r="H16" s="29"/>
      <c r="I16" s="29"/>
      <c r="J16" s="29"/>
      <c r="K16" s="29"/>
      <c r="L16" s="33">
        <f t="shared" si="0"/>
        <v>0</v>
      </c>
      <c r="M16" s="40">
        <v>85176290</v>
      </c>
      <c r="N16" s="28"/>
    </row>
    <row r="17" spans="1:14" s="26" customFormat="1">
      <c r="A17" s="22">
        <v>6</v>
      </c>
      <c r="B17" s="145" t="s">
        <v>152</v>
      </c>
      <c r="C17" s="145" t="s">
        <v>177</v>
      </c>
      <c r="D17" s="10"/>
      <c r="E17" s="10"/>
      <c r="F17" s="146">
        <v>2</v>
      </c>
      <c r="G17" s="29">
        <v>614</v>
      </c>
      <c r="H17" s="29"/>
      <c r="I17" s="29"/>
      <c r="J17" s="29"/>
      <c r="K17" s="29"/>
      <c r="L17" s="33">
        <f t="shared" si="0"/>
        <v>1228</v>
      </c>
      <c r="M17" s="40">
        <v>85176290</v>
      </c>
      <c r="N17" s="28"/>
    </row>
    <row r="18" spans="1:14" s="26" customFormat="1">
      <c r="A18" s="22">
        <v>7</v>
      </c>
      <c r="B18" s="145" t="s">
        <v>153</v>
      </c>
      <c r="C18" s="145" t="s">
        <v>178</v>
      </c>
      <c r="D18" s="10"/>
      <c r="E18" s="10"/>
      <c r="F18" s="146">
        <v>4</v>
      </c>
      <c r="G18" s="29">
        <v>12702</v>
      </c>
      <c r="H18" s="29"/>
      <c r="I18" s="29"/>
      <c r="J18" s="29"/>
      <c r="K18" s="29"/>
      <c r="L18" s="33">
        <f t="shared" si="0"/>
        <v>50808</v>
      </c>
      <c r="M18" s="40">
        <v>85176290</v>
      </c>
      <c r="N18" s="28"/>
    </row>
    <row r="19" spans="1:14" s="26" customFormat="1">
      <c r="A19" s="22">
        <v>8</v>
      </c>
      <c r="B19" s="145" t="s">
        <v>146</v>
      </c>
      <c r="C19" s="145" t="s">
        <v>146</v>
      </c>
      <c r="D19" s="10"/>
      <c r="E19" s="10"/>
      <c r="F19" s="146"/>
      <c r="G19" s="29"/>
      <c r="H19" s="29"/>
      <c r="I19" s="29"/>
      <c r="J19" s="29"/>
      <c r="K19" s="29"/>
      <c r="L19" s="33">
        <v>150000</v>
      </c>
      <c r="M19" s="40">
        <v>998733</v>
      </c>
      <c r="N19" s="28"/>
    </row>
    <row r="20" spans="1:14" s="26" customFormat="1">
      <c r="A20" s="22"/>
      <c r="B20" s="173"/>
      <c r="C20" s="145"/>
      <c r="D20" s="10"/>
      <c r="E20" s="10"/>
      <c r="F20" s="146"/>
      <c r="G20" s="29"/>
      <c r="H20" s="29"/>
      <c r="I20" s="29"/>
      <c r="J20" s="29"/>
      <c r="K20" s="29"/>
      <c r="L20" s="33"/>
      <c r="M20" s="13"/>
      <c r="N20" s="28"/>
    </row>
    <row r="21" spans="1:14" s="26" customFormat="1">
      <c r="A21" s="21"/>
      <c r="B21" s="147"/>
      <c r="C21" s="17" t="s">
        <v>81</v>
      </c>
      <c r="D21" s="18"/>
      <c r="E21" s="19"/>
      <c r="F21" s="19"/>
      <c r="G21" s="100">
        <f>SUM(L12:L20)</f>
        <v>4954430</v>
      </c>
      <c r="H21" s="100"/>
      <c r="I21" s="100"/>
      <c r="J21" s="100" t="e">
        <f>SUM(#REF!)</f>
        <v>#REF!</v>
      </c>
      <c r="K21" s="100" t="e">
        <f t="shared" ref="K21:L21" si="1">J21</f>
        <v>#REF!</v>
      </c>
      <c r="L21" s="100" t="e">
        <f t="shared" si="1"/>
        <v>#REF!</v>
      </c>
      <c r="M21" s="13"/>
    </row>
    <row r="22" spans="1:14" s="26" customFormat="1">
      <c r="A22" s="21"/>
      <c r="B22" s="147"/>
      <c r="C22" s="12" t="s">
        <v>82</v>
      </c>
      <c r="D22" s="9"/>
      <c r="E22" s="10"/>
      <c r="F22" s="10"/>
      <c r="G22" s="101">
        <f>G21*18%</f>
        <v>891797.4</v>
      </c>
      <c r="H22" s="101"/>
      <c r="I22" s="101"/>
      <c r="J22" s="101" t="e">
        <f>J21*18%</f>
        <v>#REF!</v>
      </c>
      <c r="K22" s="101"/>
      <c r="L22" s="101"/>
      <c r="M22" s="13"/>
    </row>
    <row r="23" spans="1:14" s="26" customFormat="1">
      <c r="A23" s="21"/>
      <c r="B23" s="147"/>
      <c r="C23" s="17" t="s">
        <v>81</v>
      </c>
      <c r="D23" s="18"/>
      <c r="E23" s="19"/>
      <c r="F23" s="19"/>
      <c r="G23" s="100">
        <f>G22+G21</f>
        <v>5846227.4000000004</v>
      </c>
      <c r="H23" s="100"/>
      <c r="I23" s="100"/>
      <c r="J23" s="100" t="e">
        <f>J21+J22</f>
        <v>#REF!</v>
      </c>
      <c r="K23" s="100"/>
      <c r="L23" s="100"/>
      <c r="M23" s="13"/>
    </row>
    <row r="24" spans="1:14" ht="18.95" customHeight="1">
      <c r="A24" s="102" t="s">
        <v>68</v>
      </c>
      <c r="B24" s="103"/>
      <c r="C24" s="103"/>
      <c r="D24" s="103"/>
      <c r="E24" s="103"/>
      <c r="F24" s="103"/>
      <c r="G24" s="103"/>
      <c r="H24" s="103"/>
      <c r="I24" s="103"/>
      <c r="J24" s="103"/>
      <c r="K24" s="103"/>
      <c r="L24" s="104"/>
    </row>
    <row r="25" spans="1:14" ht="21" customHeight="1">
      <c r="A25" s="105" t="s">
        <v>15</v>
      </c>
      <c r="B25" s="106"/>
      <c r="C25" s="106"/>
      <c r="D25" s="106"/>
      <c r="E25" s="106"/>
      <c r="F25" s="106"/>
      <c r="G25" s="106"/>
      <c r="H25" s="106"/>
      <c r="I25" s="106"/>
      <c r="J25" s="106"/>
      <c r="K25" s="106"/>
      <c r="L25" s="107"/>
    </row>
    <row r="26" spans="1:14">
      <c r="A26" s="83" t="s">
        <v>8</v>
      </c>
      <c r="B26" s="84"/>
      <c r="C26" s="85" t="s">
        <v>13</v>
      </c>
      <c r="D26" s="85"/>
      <c r="E26" s="85"/>
      <c r="F26" s="85"/>
      <c r="G26" s="85"/>
      <c r="H26" s="85"/>
      <c r="I26" s="85"/>
      <c r="J26" s="85"/>
      <c r="K26" s="85"/>
      <c r="L26" s="86"/>
    </row>
    <row r="27" spans="1:14">
      <c r="A27" s="83" t="s">
        <v>9</v>
      </c>
      <c r="B27" s="84"/>
      <c r="C27" s="85" t="s">
        <v>87</v>
      </c>
      <c r="D27" s="85"/>
      <c r="E27" s="85"/>
      <c r="F27" s="85"/>
      <c r="G27" s="85"/>
      <c r="H27" s="85"/>
      <c r="I27" s="85"/>
      <c r="J27" s="85"/>
      <c r="K27" s="85"/>
      <c r="L27" s="86"/>
    </row>
    <row r="28" spans="1:14">
      <c r="A28" s="83" t="s">
        <v>53</v>
      </c>
      <c r="B28" s="84"/>
      <c r="C28" s="87">
        <v>0.18</v>
      </c>
      <c r="D28" s="85"/>
      <c r="E28" s="85"/>
      <c r="F28" s="85"/>
      <c r="G28" s="85"/>
      <c r="H28" s="85"/>
      <c r="I28" s="85"/>
      <c r="J28" s="85"/>
      <c r="K28" s="85"/>
      <c r="L28" s="86"/>
    </row>
    <row r="29" spans="1:14">
      <c r="A29" s="83" t="s">
        <v>10</v>
      </c>
      <c r="B29" s="84"/>
      <c r="C29" s="85" t="s">
        <v>111</v>
      </c>
      <c r="D29" s="85"/>
      <c r="E29" s="85"/>
      <c r="F29" s="85"/>
      <c r="G29" s="85"/>
      <c r="H29" s="85"/>
      <c r="I29" s="85"/>
      <c r="J29" s="85"/>
      <c r="K29" s="85"/>
      <c r="L29" s="86"/>
    </row>
    <row r="30" spans="1:14">
      <c r="A30" s="83" t="s">
        <v>11</v>
      </c>
      <c r="B30" s="84"/>
      <c r="C30" s="85" t="s">
        <v>12</v>
      </c>
      <c r="D30" s="85"/>
      <c r="E30" s="85"/>
      <c r="F30" s="85"/>
      <c r="G30" s="85"/>
      <c r="H30" s="85"/>
      <c r="I30" s="85"/>
      <c r="J30" s="85"/>
      <c r="K30" s="85"/>
      <c r="L30" s="86"/>
    </row>
    <row r="31" spans="1:14">
      <c r="A31" s="83" t="s">
        <v>14</v>
      </c>
      <c r="B31" s="84"/>
      <c r="C31" s="85" t="s">
        <v>55</v>
      </c>
      <c r="D31" s="85"/>
      <c r="E31" s="85"/>
      <c r="F31" s="85"/>
      <c r="G31" s="85"/>
      <c r="H31" s="85"/>
      <c r="I31" s="85"/>
      <c r="J31" s="85"/>
      <c r="K31" s="85"/>
      <c r="L31" s="86"/>
    </row>
    <row r="32" spans="1:14" ht="33" customHeight="1">
      <c r="A32" s="83" t="s">
        <v>61</v>
      </c>
      <c r="B32" s="84"/>
      <c r="C32" s="148" t="s">
        <v>80</v>
      </c>
      <c r="D32" s="149"/>
      <c r="E32" s="149"/>
      <c r="F32" s="149"/>
      <c r="G32" s="149"/>
      <c r="H32" s="149"/>
      <c r="I32" s="149"/>
      <c r="J32" s="149"/>
      <c r="K32" s="149"/>
      <c r="L32" s="150"/>
    </row>
    <row r="33" spans="1:12">
      <c r="A33" s="151" t="s">
        <v>62</v>
      </c>
      <c r="B33" s="152"/>
      <c r="C33" s="85" t="s">
        <v>74</v>
      </c>
      <c r="D33" s="85"/>
      <c r="E33" s="85"/>
      <c r="F33" s="85"/>
      <c r="G33" s="85"/>
      <c r="H33" s="85"/>
      <c r="I33" s="85"/>
      <c r="J33" s="85"/>
      <c r="K33" s="85"/>
      <c r="L33" s="86"/>
    </row>
    <row r="34" spans="1:12" ht="33" customHeight="1">
      <c r="A34" s="153"/>
      <c r="B34" s="154"/>
      <c r="C34" s="85" t="s">
        <v>75</v>
      </c>
      <c r="D34" s="85"/>
      <c r="E34" s="85"/>
      <c r="F34" s="85"/>
      <c r="G34" s="85"/>
      <c r="H34" s="85"/>
      <c r="I34" s="85"/>
      <c r="J34" s="85"/>
      <c r="K34" s="85"/>
      <c r="L34" s="86"/>
    </row>
    <row r="35" spans="1:12">
      <c r="A35" s="153"/>
      <c r="B35" s="154"/>
      <c r="C35" s="85"/>
      <c r="D35" s="85"/>
      <c r="E35" s="85"/>
      <c r="F35" s="85"/>
      <c r="G35" s="85"/>
      <c r="H35" s="85"/>
      <c r="I35" s="85"/>
      <c r="J35" s="85"/>
      <c r="K35" s="85"/>
      <c r="L35" s="86"/>
    </row>
    <row r="36" spans="1:12">
      <c r="A36" s="153"/>
      <c r="B36" s="154"/>
      <c r="C36" s="85" t="s">
        <v>76</v>
      </c>
      <c r="D36" s="85"/>
      <c r="E36" s="85"/>
      <c r="F36" s="85"/>
      <c r="G36" s="85"/>
      <c r="H36" s="85"/>
      <c r="I36" s="85"/>
      <c r="J36" s="85"/>
      <c r="K36" s="85"/>
      <c r="L36" s="86"/>
    </row>
    <row r="37" spans="1:12" ht="19.5" customHeight="1">
      <c r="A37" s="153"/>
      <c r="B37" s="154"/>
      <c r="C37" s="148" t="s">
        <v>77</v>
      </c>
      <c r="D37" s="149"/>
      <c r="E37" s="149"/>
      <c r="F37" s="149"/>
      <c r="G37" s="149"/>
      <c r="H37" s="149"/>
      <c r="I37" s="149"/>
      <c r="J37" s="149"/>
      <c r="K37" s="149"/>
      <c r="L37" s="150"/>
    </row>
    <row r="38" spans="1:12">
      <c r="A38" s="153"/>
      <c r="B38" s="154"/>
      <c r="C38" s="85" t="s">
        <v>78</v>
      </c>
      <c r="D38" s="85"/>
      <c r="E38" s="85"/>
      <c r="F38" s="85"/>
      <c r="G38" s="85"/>
      <c r="H38" s="85"/>
      <c r="I38" s="85"/>
      <c r="J38" s="85"/>
      <c r="K38" s="85"/>
      <c r="L38" s="86"/>
    </row>
    <row r="39" spans="1:12">
      <c r="A39" s="153"/>
      <c r="B39" s="154"/>
      <c r="C39" s="155" t="s">
        <v>73</v>
      </c>
      <c r="D39" s="156"/>
      <c r="E39" s="156"/>
      <c r="F39" s="156"/>
      <c r="G39" s="156"/>
      <c r="H39" s="156"/>
      <c r="I39" s="156"/>
      <c r="J39" s="156"/>
      <c r="K39" s="156"/>
      <c r="L39" s="157"/>
    </row>
    <row r="40" spans="1:12">
      <c r="A40" s="153"/>
      <c r="B40" s="154"/>
      <c r="C40" s="155" t="s">
        <v>79</v>
      </c>
      <c r="D40" s="156"/>
      <c r="E40" s="156"/>
      <c r="F40" s="156"/>
      <c r="G40" s="156"/>
      <c r="H40" s="156"/>
      <c r="I40" s="156"/>
      <c r="J40" s="156"/>
      <c r="K40" s="156"/>
      <c r="L40" s="157"/>
    </row>
    <row r="41" spans="1:12">
      <c r="A41" s="139" t="s">
        <v>63</v>
      </c>
      <c r="B41" s="140"/>
      <c r="C41" s="158" t="s">
        <v>69</v>
      </c>
      <c r="D41" s="158"/>
      <c r="E41" s="158"/>
      <c r="F41" s="158"/>
      <c r="G41" s="158"/>
      <c r="H41" s="158"/>
      <c r="I41" s="158"/>
      <c r="J41" s="158"/>
      <c r="K41" s="158"/>
      <c r="L41" s="159"/>
    </row>
    <row r="42" spans="1:12" ht="18.75" customHeight="1">
      <c r="A42" s="160" t="s">
        <v>44</v>
      </c>
      <c r="B42" s="161"/>
      <c r="C42" s="161"/>
      <c r="D42" s="161"/>
      <c r="E42" s="161"/>
      <c r="F42" s="161"/>
      <c r="G42" s="161"/>
      <c r="H42" s="161"/>
      <c r="I42" s="161"/>
      <c r="J42" s="161"/>
      <c r="K42" s="161"/>
      <c r="L42" s="162"/>
    </row>
    <row r="43" spans="1:12">
      <c r="A43" s="163" t="s">
        <v>16</v>
      </c>
      <c r="B43" s="164"/>
      <c r="C43" s="165" t="s">
        <v>56</v>
      </c>
      <c r="D43" s="165" t="s">
        <v>17</v>
      </c>
      <c r="E43" s="165" t="s">
        <v>17</v>
      </c>
      <c r="F43" s="165"/>
      <c r="G43" s="165"/>
      <c r="H43" s="165"/>
      <c r="I43" s="165" t="s">
        <v>17</v>
      </c>
      <c r="J43" s="165"/>
      <c r="K43" s="165" t="s">
        <v>17</v>
      </c>
      <c r="L43" s="166" t="s">
        <v>17</v>
      </c>
    </row>
    <row r="44" spans="1:12">
      <c r="A44" s="56" t="s">
        <v>18</v>
      </c>
      <c r="B44" s="57"/>
      <c r="C44" s="43" t="s">
        <v>54</v>
      </c>
      <c r="D44" s="43" t="s">
        <v>19</v>
      </c>
      <c r="E44" s="43" t="s">
        <v>19</v>
      </c>
      <c r="F44" s="43"/>
      <c r="G44" s="43"/>
      <c r="H44" s="43"/>
      <c r="I44" s="43" t="s">
        <v>19</v>
      </c>
      <c r="J44" s="43"/>
      <c r="K44" s="43" t="s">
        <v>19</v>
      </c>
      <c r="L44" s="44" t="s">
        <v>19</v>
      </c>
    </row>
    <row r="45" spans="1:12">
      <c r="A45" s="83" t="s">
        <v>20</v>
      </c>
      <c r="B45" s="84"/>
      <c r="C45" s="43" t="s">
        <v>57</v>
      </c>
      <c r="D45" s="43" t="s">
        <v>21</v>
      </c>
      <c r="E45" s="43" t="s">
        <v>21</v>
      </c>
      <c r="F45" s="43"/>
      <c r="G45" s="43"/>
      <c r="H45" s="43"/>
      <c r="I45" s="43" t="s">
        <v>21</v>
      </c>
      <c r="J45" s="43"/>
      <c r="K45" s="43" t="s">
        <v>21</v>
      </c>
      <c r="L45" s="44" t="s">
        <v>21</v>
      </c>
    </row>
    <row r="46" spans="1:12" ht="27.75" customHeight="1">
      <c r="A46" s="56" t="s">
        <v>22</v>
      </c>
      <c r="B46" s="57"/>
      <c r="C46" s="43" t="s">
        <v>23</v>
      </c>
      <c r="D46" s="43" t="s">
        <v>23</v>
      </c>
      <c r="E46" s="43" t="s">
        <v>23</v>
      </c>
      <c r="F46" s="43"/>
      <c r="G46" s="43"/>
      <c r="H46" s="43"/>
      <c r="I46" s="43" t="s">
        <v>23</v>
      </c>
      <c r="J46" s="43"/>
      <c r="K46" s="43" t="s">
        <v>23</v>
      </c>
      <c r="L46" s="44" t="s">
        <v>23</v>
      </c>
    </row>
    <row r="47" spans="1:12">
      <c r="A47" s="83" t="s">
        <v>24</v>
      </c>
      <c r="B47" s="84"/>
      <c r="C47" s="43" t="s">
        <v>60</v>
      </c>
      <c r="D47" s="43" t="s">
        <v>25</v>
      </c>
      <c r="E47" s="43" t="s">
        <v>25</v>
      </c>
      <c r="F47" s="43"/>
      <c r="G47" s="43"/>
      <c r="H47" s="43"/>
      <c r="I47" s="43" t="s">
        <v>25</v>
      </c>
      <c r="J47" s="43"/>
      <c r="K47" s="43" t="s">
        <v>25</v>
      </c>
      <c r="L47" s="44" t="s">
        <v>25</v>
      </c>
    </row>
    <row r="48" spans="1:12">
      <c r="A48" s="83" t="s">
        <v>26</v>
      </c>
      <c r="B48" s="84"/>
      <c r="C48" s="43" t="s">
        <v>58</v>
      </c>
      <c r="D48" s="43" t="s">
        <v>27</v>
      </c>
      <c r="E48" s="43" t="s">
        <v>27</v>
      </c>
      <c r="F48" s="43"/>
      <c r="G48" s="43"/>
      <c r="H48" s="43"/>
      <c r="I48" s="43" t="s">
        <v>27</v>
      </c>
      <c r="J48" s="43"/>
      <c r="K48" s="43" t="s">
        <v>27</v>
      </c>
      <c r="L48" s="44" t="s">
        <v>27</v>
      </c>
    </row>
    <row r="49" spans="1:13">
      <c r="A49" s="83" t="s">
        <v>28</v>
      </c>
      <c r="B49" s="84"/>
      <c r="C49" s="43" t="s">
        <v>29</v>
      </c>
      <c r="D49" s="43" t="s">
        <v>29</v>
      </c>
      <c r="E49" s="43" t="s">
        <v>29</v>
      </c>
      <c r="F49" s="43"/>
      <c r="G49" s="43"/>
      <c r="H49" s="43"/>
      <c r="I49" s="43" t="s">
        <v>29</v>
      </c>
      <c r="J49" s="43"/>
      <c r="K49" s="43" t="s">
        <v>29</v>
      </c>
      <c r="L49" s="44" t="s">
        <v>29</v>
      </c>
    </row>
    <row r="50" spans="1:13">
      <c r="A50" s="83" t="s">
        <v>30</v>
      </c>
      <c r="B50" s="84"/>
      <c r="C50" s="43" t="s">
        <v>31</v>
      </c>
      <c r="D50" s="43" t="s">
        <v>31</v>
      </c>
      <c r="E50" s="43" t="s">
        <v>31</v>
      </c>
      <c r="F50" s="43"/>
      <c r="G50" s="43"/>
      <c r="H50" s="43"/>
      <c r="I50" s="43" t="s">
        <v>31</v>
      </c>
      <c r="J50" s="43"/>
      <c r="K50" s="43" t="s">
        <v>31</v>
      </c>
      <c r="L50" s="44" t="s">
        <v>31</v>
      </c>
    </row>
    <row r="51" spans="1:13" s="27" customFormat="1">
      <c r="A51" s="54" t="s">
        <v>32</v>
      </c>
      <c r="B51" s="55"/>
      <c r="C51" s="43" t="s">
        <v>33</v>
      </c>
      <c r="D51" s="43" t="s">
        <v>33</v>
      </c>
      <c r="E51" s="43" t="s">
        <v>33</v>
      </c>
      <c r="F51" s="43"/>
      <c r="G51" s="43"/>
      <c r="H51" s="43"/>
      <c r="I51" s="43" t="s">
        <v>33</v>
      </c>
      <c r="J51" s="43"/>
      <c r="K51" s="43" t="s">
        <v>33</v>
      </c>
      <c r="L51" s="44" t="s">
        <v>33</v>
      </c>
      <c r="M51" s="13"/>
    </row>
    <row r="52" spans="1:13" s="27" customFormat="1" ht="75.75" customHeight="1">
      <c r="A52" s="56" t="s">
        <v>34</v>
      </c>
      <c r="B52" s="57"/>
      <c r="C52" s="43" t="s">
        <v>35</v>
      </c>
      <c r="D52" s="43" t="s">
        <v>35</v>
      </c>
      <c r="E52" s="43" t="s">
        <v>35</v>
      </c>
      <c r="F52" s="43"/>
      <c r="G52" s="43"/>
      <c r="H52" s="43"/>
      <c r="I52" s="43" t="s">
        <v>35</v>
      </c>
      <c r="J52" s="43"/>
      <c r="K52" s="43" t="s">
        <v>35</v>
      </c>
      <c r="L52" s="44" t="s">
        <v>35</v>
      </c>
      <c r="M52" s="13"/>
    </row>
    <row r="53" spans="1:13" s="27" customFormat="1">
      <c r="A53" s="58" t="s">
        <v>36</v>
      </c>
      <c r="B53" s="59"/>
      <c r="C53" s="43" t="s">
        <v>37</v>
      </c>
      <c r="D53" s="43" t="s">
        <v>37</v>
      </c>
      <c r="E53" s="43" t="s">
        <v>37</v>
      </c>
      <c r="F53" s="43"/>
      <c r="G53" s="43"/>
      <c r="H53" s="43"/>
      <c r="I53" s="43" t="s">
        <v>37</v>
      </c>
      <c r="J53" s="43"/>
      <c r="K53" s="43" t="s">
        <v>37</v>
      </c>
      <c r="L53" s="44" t="s">
        <v>37</v>
      </c>
      <c r="M53" s="13"/>
    </row>
    <row r="54" spans="1:13" s="27" customFormat="1" ht="100.5" customHeight="1">
      <c r="A54" s="56" t="s">
        <v>38</v>
      </c>
      <c r="B54" s="57"/>
      <c r="C54" s="43" t="s">
        <v>59</v>
      </c>
      <c r="D54" s="43" t="s">
        <v>39</v>
      </c>
      <c r="E54" s="43" t="s">
        <v>39</v>
      </c>
      <c r="F54" s="43"/>
      <c r="G54" s="43"/>
      <c r="H54" s="43"/>
      <c r="I54" s="43" t="s">
        <v>39</v>
      </c>
      <c r="J54" s="43"/>
      <c r="K54" s="43" t="s">
        <v>39</v>
      </c>
      <c r="L54" s="44" t="s">
        <v>39</v>
      </c>
      <c r="M54" s="13"/>
    </row>
    <row r="55" spans="1:13" ht="48.75" customHeight="1">
      <c r="A55" s="83" t="s">
        <v>40</v>
      </c>
      <c r="B55" s="84"/>
      <c r="C55" s="43" t="s">
        <v>41</v>
      </c>
      <c r="D55" s="43" t="s">
        <v>41</v>
      </c>
      <c r="E55" s="43" t="s">
        <v>41</v>
      </c>
      <c r="F55" s="43"/>
      <c r="G55" s="43"/>
      <c r="H55" s="43"/>
      <c r="I55" s="43" t="s">
        <v>41</v>
      </c>
      <c r="J55" s="43"/>
      <c r="K55" s="43" t="s">
        <v>41</v>
      </c>
      <c r="L55" s="44" t="s">
        <v>41</v>
      </c>
    </row>
    <row r="56" spans="1:13" ht="13.5" thickBot="1">
      <c r="A56" s="167" t="s">
        <v>42</v>
      </c>
      <c r="B56" s="168"/>
      <c r="C56" s="169" t="s">
        <v>88</v>
      </c>
      <c r="D56" s="170" t="s">
        <v>43</v>
      </c>
      <c r="E56" s="170" t="s">
        <v>43</v>
      </c>
      <c r="F56" s="170"/>
      <c r="G56" s="170"/>
      <c r="H56" s="170"/>
      <c r="I56" s="170" t="s">
        <v>43</v>
      </c>
      <c r="J56" s="170"/>
      <c r="K56" s="170" t="s">
        <v>43</v>
      </c>
      <c r="L56" s="171" t="s">
        <v>43</v>
      </c>
    </row>
    <row r="57" spans="1:13" s="23" customFormat="1">
      <c r="A57" s="11"/>
      <c r="B57" s="11"/>
      <c r="C57" s="11"/>
      <c r="D57" s="11"/>
      <c r="E57" s="11"/>
      <c r="F57" s="11"/>
      <c r="G57" s="11"/>
      <c r="H57" s="11"/>
      <c r="I57" s="11"/>
      <c r="J57" s="11"/>
      <c r="K57" s="11"/>
      <c r="L57" s="11"/>
    </row>
  </sheetData>
  <mergeCells count="81">
    <mergeCell ref="A1:L1"/>
    <mergeCell ref="A2:B8"/>
    <mergeCell ref="C2:D5"/>
    <mergeCell ref="E2:I2"/>
    <mergeCell ref="J2:L2"/>
    <mergeCell ref="E3:I3"/>
    <mergeCell ref="J3:L3"/>
    <mergeCell ref="E4:I4"/>
    <mergeCell ref="J4:L4"/>
    <mergeCell ref="E5:I5"/>
    <mergeCell ref="G21:L21"/>
    <mergeCell ref="J5:L5"/>
    <mergeCell ref="C6:D6"/>
    <mergeCell ref="E6:I6"/>
    <mergeCell ref="J6:L6"/>
    <mergeCell ref="C7:D7"/>
    <mergeCell ref="E7:I7"/>
    <mergeCell ref="J7:L7"/>
    <mergeCell ref="C8:D8"/>
    <mergeCell ref="E8:I8"/>
    <mergeCell ref="J8:L8"/>
    <mergeCell ref="A9:L9"/>
    <mergeCell ref="A10:L10"/>
    <mergeCell ref="G22:L22"/>
    <mergeCell ref="G23:L23"/>
    <mergeCell ref="A24:L24"/>
    <mergeCell ref="A25:L25"/>
    <mergeCell ref="A26:B26"/>
    <mergeCell ref="C26:L26"/>
    <mergeCell ref="A27:B27"/>
    <mergeCell ref="C27:L27"/>
    <mergeCell ref="A28:B28"/>
    <mergeCell ref="C28:L28"/>
    <mergeCell ref="A29:B29"/>
    <mergeCell ref="C29:L29"/>
    <mergeCell ref="A30:B30"/>
    <mergeCell ref="C30:L30"/>
    <mergeCell ref="A31:B31"/>
    <mergeCell ref="C31:L31"/>
    <mergeCell ref="A32:B32"/>
    <mergeCell ref="C32:L32"/>
    <mergeCell ref="A44:B44"/>
    <mergeCell ref="C44:L44"/>
    <mergeCell ref="A33:B40"/>
    <mergeCell ref="C33:L33"/>
    <mergeCell ref="C34:L34"/>
    <mergeCell ref="C35:L35"/>
    <mergeCell ref="C36:L36"/>
    <mergeCell ref="C37:L37"/>
    <mergeCell ref="C38:L38"/>
    <mergeCell ref="C39:L39"/>
    <mergeCell ref="C40:L40"/>
    <mergeCell ref="A41:B41"/>
    <mergeCell ref="C41:L41"/>
    <mergeCell ref="A42:L42"/>
    <mergeCell ref="A43:B43"/>
    <mergeCell ref="C43:L43"/>
    <mergeCell ref="A45:B45"/>
    <mergeCell ref="C45:L45"/>
    <mergeCell ref="A46:B46"/>
    <mergeCell ref="C46:L46"/>
    <mergeCell ref="A47:B47"/>
    <mergeCell ref="C47:L47"/>
    <mergeCell ref="A48:B48"/>
    <mergeCell ref="C48:L48"/>
    <mergeCell ref="A49:B49"/>
    <mergeCell ref="C49:L49"/>
    <mergeCell ref="A50:B50"/>
    <mergeCell ref="C50:L50"/>
    <mergeCell ref="A51:B51"/>
    <mergeCell ref="C51:L51"/>
    <mergeCell ref="A52:B52"/>
    <mergeCell ref="C52:L52"/>
    <mergeCell ref="A53:B53"/>
    <mergeCell ref="C53:L53"/>
    <mergeCell ref="A54:B54"/>
    <mergeCell ref="C54:L54"/>
    <mergeCell ref="A55:B55"/>
    <mergeCell ref="C55:L55"/>
    <mergeCell ref="A56:B56"/>
    <mergeCell ref="C56:L56"/>
  </mergeCells>
  <hyperlinks>
    <hyperlink ref="C56" r:id="rId1" xr:uid="{25084D82-574F-45D0-A239-34419E970A01}"/>
  </hyperlinks>
  <printOptions horizontalCentered="1" verticalCentered="1"/>
  <pageMargins left="7.8740157480315001E-2" right="7.8740157480315001E-2" top="7.8740157480315001E-2" bottom="7.8740157480315001E-2" header="7.8740157480315001E-2" footer="7.8740157480315001E-2"/>
  <pageSetup paperSize="8" orientation="portrait" r:id="rId2"/>
  <headerFooter>
    <oddHeader>&amp;C&amp;G</oddHeader>
    <oddFooter>&amp;C
&amp;R&amp;P / &amp;N</oddFooter>
  </headerFooter>
  <drawing r:id="rId3"/>
  <legacyDrawingHF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5E242-E2A1-44F7-861C-5AB951BAD58E}">
  <dimension ref="A1:O52"/>
  <sheetViews>
    <sheetView showGridLines="0" topLeftCell="A10" zoomScale="115" zoomScaleNormal="115" zoomScaleSheetLayoutView="85" zoomScalePageLayoutView="70" workbookViewId="0">
      <selection activeCell="L15" sqref="L15"/>
    </sheetView>
  </sheetViews>
  <sheetFormatPr defaultColWidth="9.42578125" defaultRowHeight="12.75"/>
  <cols>
    <col min="1" max="1" width="5.5703125" style="13" customWidth="1"/>
    <col min="2" max="2" width="15.85546875" style="13" customWidth="1"/>
    <col min="3" max="3" width="25.85546875" style="14" customWidth="1"/>
    <col min="4" max="4" width="3.85546875" style="13" customWidth="1"/>
    <col min="5" max="5" width="3.5703125" style="13" hidden="1" customWidth="1"/>
    <col min="6" max="6" width="4.140625" style="13" customWidth="1"/>
    <col min="7" max="7" width="11.140625" style="13" customWidth="1"/>
    <col min="8" max="8" width="0.140625" style="13" customWidth="1"/>
    <col min="9" max="9" width="10.5703125" style="15" hidden="1" customWidth="1"/>
    <col min="10" max="10" width="0.85546875" style="15" hidden="1" customWidth="1"/>
    <col min="11" max="11" width="9.42578125" style="16" hidden="1" customWidth="1"/>
    <col min="12" max="12" width="26" style="16" customWidth="1"/>
    <col min="13" max="13" width="12" style="24" bestFit="1" customWidth="1"/>
    <col min="14" max="14" width="11.85546875" style="24" bestFit="1" customWidth="1"/>
    <col min="15" max="15" width="11.140625" style="24" bestFit="1" customWidth="1"/>
    <col min="16" max="16384" width="9.42578125" style="24"/>
  </cols>
  <sheetData>
    <row r="1" spans="1:15" ht="63" customHeight="1">
      <c r="A1" s="108"/>
      <c r="B1" s="109"/>
      <c r="C1" s="109"/>
      <c r="D1" s="109"/>
      <c r="E1" s="109"/>
      <c r="F1" s="109"/>
      <c r="G1" s="109"/>
      <c r="H1" s="109"/>
      <c r="I1" s="109"/>
      <c r="J1" s="109"/>
      <c r="K1" s="109"/>
      <c r="L1" s="110"/>
    </row>
    <row r="2" spans="1:15" ht="15" customHeight="1">
      <c r="A2" s="111" t="s">
        <v>51</v>
      </c>
      <c r="B2" s="112"/>
      <c r="C2" s="116" t="s">
        <v>147</v>
      </c>
      <c r="D2" s="117"/>
      <c r="E2" s="120" t="s">
        <v>46</v>
      </c>
      <c r="F2" s="120"/>
      <c r="G2" s="120"/>
      <c r="H2" s="120"/>
      <c r="I2" s="120"/>
      <c r="J2" s="121" t="s">
        <v>148</v>
      </c>
      <c r="K2" s="122"/>
      <c r="L2" s="123"/>
    </row>
    <row r="3" spans="1:15" ht="15" customHeight="1">
      <c r="A3" s="105"/>
      <c r="B3" s="113"/>
      <c r="C3" s="118"/>
      <c r="D3" s="119"/>
      <c r="E3" s="120" t="s">
        <v>47</v>
      </c>
      <c r="F3" s="120"/>
      <c r="G3" s="120"/>
      <c r="H3" s="120"/>
      <c r="I3" s="120"/>
      <c r="J3" s="124">
        <v>45880</v>
      </c>
      <c r="K3" s="125"/>
      <c r="L3" s="126"/>
    </row>
    <row r="4" spans="1:15" ht="15" customHeight="1">
      <c r="A4" s="105"/>
      <c r="B4" s="113"/>
      <c r="C4" s="118"/>
      <c r="D4" s="119"/>
      <c r="E4" s="120" t="s">
        <v>48</v>
      </c>
      <c r="F4" s="120"/>
      <c r="G4" s="120"/>
      <c r="H4" s="120"/>
      <c r="I4" s="120"/>
      <c r="J4" s="127" t="s">
        <v>103</v>
      </c>
      <c r="K4" s="128"/>
      <c r="L4" s="129"/>
    </row>
    <row r="5" spans="1:15" ht="48.75" customHeight="1">
      <c r="A5" s="105"/>
      <c r="B5" s="113"/>
      <c r="C5" s="118"/>
      <c r="D5" s="119"/>
      <c r="E5" s="120" t="s">
        <v>49</v>
      </c>
      <c r="F5" s="120"/>
      <c r="G5" s="120"/>
      <c r="H5" s="120"/>
      <c r="I5" s="120"/>
      <c r="J5" s="124"/>
      <c r="K5" s="125"/>
      <c r="L5" s="126"/>
    </row>
    <row r="6" spans="1:15" ht="15" customHeight="1">
      <c r="A6" s="105"/>
      <c r="B6" s="113"/>
      <c r="C6" s="91"/>
      <c r="D6" s="57"/>
      <c r="E6" s="130" t="s">
        <v>50</v>
      </c>
      <c r="F6" s="130"/>
      <c r="G6" s="130"/>
      <c r="H6" s="130"/>
      <c r="I6" s="130"/>
      <c r="J6" s="121" t="s">
        <v>70</v>
      </c>
      <c r="K6" s="122"/>
      <c r="L6" s="123"/>
    </row>
    <row r="7" spans="1:15" ht="15" customHeight="1">
      <c r="A7" s="105"/>
      <c r="B7" s="113"/>
      <c r="C7" s="91"/>
      <c r="D7" s="57"/>
      <c r="E7" s="130" t="s">
        <v>64</v>
      </c>
      <c r="F7" s="130"/>
      <c r="G7" s="130"/>
      <c r="H7" s="130"/>
      <c r="I7" s="130"/>
      <c r="J7" s="88">
        <v>9844912500</v>
      </c>
      <c r="K7" s="89"/>
      <c r="L7" s="90"/>
    </row>
    <row r="8" spans="1:15">
      <c r="A8" s="114"/>
      <c r="B8" s="115"/>
      <c r="C8" s="91"/>
      <c r="D8" s="57"/>
      <c r="E8" s="92"/>
      <c r="F8" s="92"/>
      <c r="G8" s="92"/>
      <c r="H8" s="93"/>
      <c r="I8" s="94"/>
      <c r="J8" s="92"/>
      <c r="K8" s="93"/>
      <c r="L8" s="95"/>
    </row>
    <row r="9" spans="1:15" ht="9" customHeight="1">
      <c r="A9" s="96" t="s">
        <v>52</v>
      </c>
      <c r="B9" s="97"/>
      <c r="C9" s="97"/>
      <c r="D9" s="97"/>
      <c r="E9" s="97"/>
      <c r="F9" s="97"/>
      <c r="G9" s="97"/>
      <c r="H9" s="97"/>
      <c r="I9" s="97"/>
      <c r="J9" s="97"/>
      <c r="K9" s="97"/>
      <c r="L9" s="98"/>
    </row>
    <row r="10" spans="1:15" ht="37.700000000000003" customHeight="1">
      <c r="A10" s="72" t="s">
        <v>65</v>
      </c>
      <c r="B10" s="73"/>
      <c r="C10" s="73"/>
      <c r="D10" s="73"/>
      <c r="E10" s="73"/>
      <c r="F10" s="73"/>
      <c r="G10" s="73"/>
      <c r="H10" s="73"/>
      <c r="I10" s="73"/>
      <c r="J10" s="73"/>
      <c r="K10" s="73"/>
      <c r="L10" s="99"/>
      <c r="O10" s="39"/>
    </row>
    <row r="11" spans="1:15" s="25" customFormat="1" ht="45" customHeight="1">
      <c r="A11" s="20" t="s">
        <v>67</v>
      </c>
      <c r="B11" s="7" t="s">
        <v>66</v>
      </c>
      <c r="C11" s="7" t="s">
        <v>45</v>
      </c>
      <c r="D11" s="7" t="s">
        <v>86</v>
      </c>
      <c r="E11" s="7" t="s">
        <v>72</v>
      </c>
      <c r="F11" s="7" t="s">
        <v>0</v>
      </c>
      <c r="G11" s="31" t="s">
        <v>84</v>
      </c>
      <c r="H11" s="30" t="s">
        <v>71</v>
      </c>
      <c r="I11" s="31" t="s">
        <v>83</v>
      </c>
      <c r="J11" s="31"/>
      <c r="K11" s="31"/>
      <c r="L11" s="31" t="s">
        <v>85</v>
      </c>
      <c r="M11" s="31" t="s">
        <v>179</v>
      </c>
      <c r="O11" s="35"/>
    </row>
    <row r="12" spans="1:15" s="26" customFormat="1" ht="72">
      <c r="A12" s="22">
        <v>1</v>
      </c>
      <c r="B12" s="34" t="s">
        <v>160</v>
      </c>
      <c r="C12" s="34" t="s">
        <v>163</v>
      </c>
      <c r="D12" s="10"/>
      <c r="E12" s="10"/>
      <c r="F12" s="32" t="s">
        <v>166</v>
      </c>
      <c r="G12" s="29">
        <v>347020</v>
      </c>
      <c r="H12" s="29"/>
      <c r="I12" s="29"/>
      <c r="J12" s="29"/>
      <c r="K12" s="29"/>
      <c r="L12" s="33">
        <f>G12*F12</f>
        <v>694040</v>
      </c>
      <c r="M12" s="40">
        <v>85176290</v>
      </c>
      <c r="N12" s="28"/>
      <c r="O12" s="28"/>
    </row>
    <row r="13" spans="1:15" s="26" customFormat="1" ht="24">
      <c r="A13" s="22">
        <v>2</v>
      </c>
      <c r="B13" s="34" t="s">
        <v>161</v>
      </c>
      <c r="C13" s="34" t="s">
        <v>164</v>
      </c>
      <c r="D13" s="10"/>
      <c r="E13" s="10"/>
      <c r="F13" s="32">
        <v>2</v>
      </c>
      <c r="G13" s="29">
        <v>212325</v>
      </c>
      <c r="H13" s="29"/>
      <c r="I13" s="29"/>
      <c r="J13" s="29"/>
      <c r="K13" s="29"/>
      <c r="L13" s="33">
        <f t="shared" ref="L13:L14" si="0">G13*F13</f>
        <v>424650</v>
      </c>
      <c r="M13" s="40">
        <v>85176290</v>
      </c>
      <c r="N13" s="28"/>
      <c r="O13" s="28"/>
    </row>
    <row r="14" spans="1:15" s="26" customFormat="1" ht="48">
      <c r="A14" s="22">
        <v>3</v>
      </c>
      <c r="B14" s="34" t="s">
        <v>162</v>
      </c>
      <c r="C14" s="34" t="s">
        <v>165</v>
      </c>
      <c r="D14" s="10"/>
      <c r="E14" s="10"/>
      <c r="F14" s="32">
        <v>2</v>
      </c>
      <c r="G14" s="29">
        <v>101962</v>
      </c>
      <c r="H14" s="29"/>
      <c r="I14" s="29"/>
      <c r="J14" s="29"/>
      <c r="K14" s="29"/>
      <c r="L14" s="33">
        <f t="shared" si="0"/>
        <v>203924</v>
      </c>
      <c r="M14" s="40">
        <v>85176290</v>
      </c>
      <c r="N14" s="28"/>
      <c r="O14" s="28"/>
    </row>
    <row r="15" spans="1:15" s="26" customFormat="1">
      <c r="A15" s="22">
        <v>4</v>
      </c>
      <c r="B15" s="34" t="s">
        <v>146</v>
      </c>
      <c r="C15" s="34" t="s">
        <v>146</v>
      </c>
      <c r="D15" s="10"/>
      <c r="E15" s="10"/>
      <c r="F15" s="32"/>
      <c r="G15" s="29"/>
      <c r="H15" s="29"/>
      <c r="I15" s="29"/>
      <c r="J15" s="29"/>
      <c r="K15" s="29"/>
      <c r="L15" s="33">
        <v>20000</v>
      </c>
      <c r="M15" s="40">
        <v>998733</v>
      </c>
      <c r="N15" s="28"/>
    </row>
    <row r="16" spans="1:15" s="26" customFormat="1">
      <c r="A16" s="21"/>
      <c r="B16" s="8"/>
      <c r="C16" s="17" t="s">
        <v>81</v>
      </c>
      <c r="D16" s="18"/>
      <c r="E16" s="19"/>
      <c r="F16" s="19"/>
      <c r="G16" s="100">
        <f>SUM(L12:L15)</f>
        <v>1342614</v>
      </c>
      <c r="H16" s="100"/>
      <c r="I16" s="100"/>
      <c r="J16" s="100" t="e">
        <f>SUM(#REF!)</f>
        <v>#REF!</v>
      </c>
      <c r="K16" s="100" t="e">
        <f t="shared" ref="K16:L16" si="1">J16</f>
        <v>#REF!</v>
      </c>
      <c r="L16" s="100" t="e">
        <f t="shared" si="1"/>
        <v>#REF!</v>
      </c>
    </row>
    <row r="17" spans="1:12" s="26" customFormat="1">
      <c r="A17" s="21"/>
      <c r="B17" s="8"/>
      <c r="C17" s="12" t="s">
        <v>82</v>
      </c>
      <c r="D17" s="9"/>
      <c r="E17" s="10"/>
      <c r="F17" s="10"/>
      <c r="G17" s="101">
        <f>G16*18%</f>
        <v>241670.52</v>
      </c>
      <c r="H17" s="101"/>
      <c r="I17" s="101"/>
      <c r="J17" s="101" t="e">
        <f>J16*18%</f>
        <v>#REF!</v>
      </c>
      <c r="K17" s="101"/>
      <c r="L17" s="101"/>
    </row>
    <row r="18" spans="1:12" s="26" customFormat="1">
      <c r="A18" s="21"/>
      <c r="B18" s="8"/>
      <c r="C18" s="17" t="s">
        <v>81</v>
      </c>
      <c r="D18" s="18"/>
      <c r="E18" s="19"/>
      <c r="F18" s="19"/>
      <c r="G18" s="100">
        <f>G17+G16</f>
        <v>1584284.52</v>
      </c>
      <c r="H18" s="100"/>
      <c r="I18" s="100"/>
      <c r="J18" s="100" t="e">
        <f>J16+J17</f>
        <v>#REF!</v>
      </c>
      <c r="K18" s="100"/>
      <c r="L18" s="100"/>
    </row>
    <row r="19" spans="1:12" ht="18.95" customHeight="1">
      <c r="A19" s="102" t="s">
        <v>68</v>
      </c>
      <c r="B19" s="103"/>
      <c r="C19" s="103"/>
      <c r="D19" s="103"/>
      <c r="E19" s="103"/>
      <c r="F19" s="103"/>
      <c r="G19" s="103"/>
      <c r="H19" s="103"/>
      <c r="I19" s="103"/>
      <c r="J19" s="103"/>
      <c r="K19" s="103"/>
      <c r="L19" s="104"/>
    </row>
    <row r="20" spans="1:12" ht="21" customHeight="1">
      <c r="A20" s="105" t="s">
        <v>15</v>
      </c>
      <c r="B20" s="106"/>
      <c r="C20" s="106"/>
      <c r="D20" s="106"/>
      <c r="E20" s="106"/>
      <c r="F20" s="106"/>
      <c r="G20" s="106"/>
      <c r="H20" s="106"/>
      <c r="I20" s="106"/>
      <c r="J20" s="106"/>
      <c r="K20" s="106"/>
      <c r="L20" s="107"/>
    </row>
    <row r="21" spans="1:12">
      <c r="A21" s="83" t="s">
        <v>8</v>
      </c>
      <c r="B21" s="84"/>
      <c r="C21" s="85" t="s">
        <v>13</v>
      </c>
      <c r="D21" s="85"/>
      <c r="E21" s="85"/>
      <c r="F21" s="85"/>
      <c r="G21" s="85"/>
      <c r="H21" s="85"/>
      <c r="I21" s="85"/>
      <c r="J21" s="85"/>
      <c r="K21" s="85"/>
      <c r="L21" s="86"/>
    </row>
    <row r="22" spans="1:12">
      <c r="A22" s="83" t="s">
        <v>9</v>
      </c>
      <c r="B22" s="84"/>
      <c r="C22" s="85" t="s">
        <v>87</v>
      </c>
      <c r="D22" s="85"/>
      <c r="E22" s="85"/>
      <c r="F22" s="85"/>
      <c r="G22" s="85"/>
      <c r="H22" s="85"/>
      <c r="I22" s="85"/>
      <c r="J22" s="85"/>
      <c r="K22" s="85"/>
      <c r="L22" s="86"/>
    </row>
    <row r="23" spans="1:12">
      <c r="A23" s="83" t="s">
        <v>53</v>
      </c>
      <c r="B23" s="84"/>
      <c r="C23" s="87">
        <v>0.18</v>
      </c>
      <c r="D23" s="85"/>
      <c r="E23" s="85"/>
      <c r="F23" s="85"/>
      <c r="G23" s="85"/>
      <c r="H23" s="85"/>
      <c r="I23" s="85"/>
      <c r="J23" s="85"/>
      <c r="K23" s="85"/>
      <c r="L23" s="86"/>
    </row>
    <row r="24" spans="1:12">
      <c r="A24" s="83" t="s">
        <v>10</v>
      </c>
      <c r="B24" s="84"/>
      <c r="C24" s="85" t="s">
        <v>111</v>
      </c>
      <c r="D24" s="85"/>
      <c r="E24" s="85"/>
      <c r="F24" s="85"/>
      <c r="G24" s="85"/>
      <c r="H24" s="85"/>
      <c r="I24" s="85"/>
      <c r="J24" s="85"/>
      <c r="K24" s="85"/>
      <c r="L24" s="86"/>
    </row>
    <row r="25" spans="1:12">
      <c r="A25" s="45" t="s">
        <v>11</v>
      </c>
      <c r="B25" s="46"/>
      <c r="C25" s="64" t="s">
        <v>12</v>
      </c>
      <c r="D25" s="64"/>
      <c r="E25" s="64"/>
      <c r="F25" s="64"/>
      <c r="G25" s="64"/>
      <c r="H25" s="64"/>
      <c r="I25" s="64"/>
      <c r="J25" s="64"/>
      <c r="K25" s="64"/>
      <c r="L25" s="65"/>
    </row>
    <row r="26" spans="1:12">
      <c r="A26" s="45" t="s">
        <v>14</v>
      </c>
      <c r="B26" s="46"/>
      <c r="C26" s="64" t="s">
        <v>55</v>
      </c>
      <c r="D26" s="64"/>
      <c r="E26" s="64"/>
      <c r="F26" s="64"/>
      <c r="G26" s="64"/>
      <c r="H26" s="64"/>
      <c r="I26" s="64"/>
      <c r="J26" s="64"/>
      <c r="K26" s="64"/>
      <c r="L26" s="65"/>
    </row>
    <row r="27" spans="1:12" ht="33" customHeight="1">
      <c r="A27" s="83" t="s">
        <v>61</v>
      </c>
      <c r="B27" s="84"/>
      <c r="C27" s="66" t="s">
        <v>80</v>
      </c>
      <c r="D27" s="67"/>
      <c r="E27" s="67"/>
      <c r="F27" s="67"/>
      <c r="G27" s="67"/>
      <c r="H27" s="67"/>
      <c r="I27" s="67"/>
      <c r="J27" s="67"/>
      <c r="K27" s="67"/>
      <c r="L27" s="68"/>
    </row>
    <row r="28" spans="1:12">
      <c r="A28" s="60" t="s">
        <v>62</v>
      </c>
      <c r="B28" s="61"/>
      <c r="C28" s="64" t="s">
        <v>74</v>
      </c>
      <c r="D28" s="64"/>
      <c r="E28" s="64"/>
      <c r="F28" s="64"/>
      <c r="G28" s="64"/>
      <c r="H28" s="64"/>
      <c r="I28" s="64"/>
      <c r="J28" s="64"/>
      <c r="K28" s="64"/>
      <c r="L28" s="65"/>
    </row>
    <row r="29" spans="1:12" ht="33" customHeight="1">
      <c r="A29" s="62"/>
      <c r="B29" s="63"/>
      <c r="C29" s="64" t="s">
        <v>75</v>
      </c>
      <c r="D29" s="64"/>
      <c r="E29" s="64"/>
      <c r="F29" s="64"/>
      <c r="G29" s="64"/>
      <c r="H29" s="64"/>
      <c r="I29" s="64"/>
      <c r="J29" s="64"/>
      <c r="K29" s="64"/>
      <c r="L29" s="65"/>
    </row>
    <row r="30" spans="1:12">
      <c r="A30" s="62"/>
      <c r="B30" s="63"/>
      <c r="C30" s="64"/>
      <c r="D30" s="64"/>
      <c r="E30" s="64"/>
      <c r="F30" s="64"/>
      <c r="G30" s="64"/>
      <c r="H30" s="64"/>
      <c r="I30" s="64"/>
      <c r="J30" s="64"/>
      <c r="K30" s="64"/>
      <c r="L30" s="65"/>
    </row>
    <row r="31" spans="1:12">
      <c r="A31" s="62"/>
      <c r="B31" s="63"/>
      <c r="C31" s="64" t="s">
        <v>76</v>
      </c>
      <c r="D31" s="64"/>
      <c r="E31" s="64"/>
      <c r="F31" s="64"/>
      <c r="G31" s="64"/>
      <c r="H31" s="64"/>
      <c r="I31" s="64"/>
      <c r="J31" s="64"/>
      <c r="K31" s="64"/>
      <c r="L31" s="65"/>
    </row>
    <row r="32" spans="1:12" ht="19.5" customHeight="1">
      <c r="A32" s="62"/>
      <c r="B32" s="63"/>
      <c r="C32" s="66" t="s">
        <v>77</v>
      </c>
      <c r="D32" s="67"/>
      <c r="E32" s="67"/>
      <c r="F32" s="67"/>
      <c r="G32" s="67"/>
      <c r="H32" s="67"/>
      <c r="I32" s="67"/>
      <c r="J32" s="67"/>
      <c r="K32" s="67"/>
      <c r="L32" s="68"/>
    </row>
    <row r="33" spans="1:12">
      <c r="A33" s="62"/>
      <c r="B33" s="63"/>
      <c r="C33" s="64" t="s">
        <v>78</v>
      </c>
      <c r="D33" s="64"/>
      <c r="E33" s="64"/>
      <c r="F33" s="64"/>
      <c r="G33" s="64"/>
      <c r="H33" s="64"/>
      <c r="I33" s="64"/>
      <c r="J33" s="64"/>
      <c r="K33" s="64"/>
      <c r="L33" s="65"/>
    </row>
    <row r="34" spans="1:12">
      <c r="A34" s="62"/>
      <c r="B34" s="63"/>
      <c r="C34" s="69" t="s">
        <v>73</v>
      </c>
      <c r="D34" s="70"/>
      <c r="E34" s="70"/>
      <c r="F34" s="70"/>
      <c r="G34" s="70"/>
      <c r="H34" s="70"/>
      <c r="I34" s="70"/>
      <c r="J34" s="70"/>
      <c r="K34" s="70"/>
      <c r="L34" s="71"/>
    </row>
    <row r="35" spans="1:12">
      <c r="A35" s="62"/>
      <c r="B35" s="63"/>
      <c r="C35" s="69" t="s">
        <v>79</v>
      </c>
      <c r="D35" s="70"/>
      <c r="E35" s="70"/>
      <c r="F35" s="70"/>
      <c r="G35" s="70"/>
      <c r="H35" s="70"/>
      <c r="I35" s="70"/>
      <c r="J35" s="70"/>
      <c r="K35" s="70"/>
      <c r="L35" s="71"/>
    </row>
    <row r="36" spans="1:12">
      <c r="A36" s="72" t="s">
        <v>63</v>
      </c>
      <c r="B36" s="73"/>
      <c r="C36" s="74" t="s">
        <v>69</v>
      </c>
      <c r="D36" s="74"/>
      <c r="E36" s="74"/>
      <c r="F36" s="74"/>
      <c r="G36" s="74"/>
      <c r="H36" s="74"/>
      <c r="I36" s="74"/>
      <c r="J36" s="74"/>
      <c r="K36" s="74"/>
      <c r="L36" s="75"/>
    </row>
    <row r="37" spans="1:12" ht="18.75" customHeight="1">
      <c r="A37" s="76" t="s">
        <v>44</v>
      </c>
      <c r="B37" s="77"/>
      <c r="C37" s="77"/>
      <c r="D37" s="77"/>
      <c r="E37" s="77"/>
      <c r="F37" s="77"/>
      <c r="G37" s="77"/>
      <c r="H37" s="77"/>
      <c r="I37" s="77"/>
      <c r="J37" s="77"/>
      <c r="K37" s="77"/>
      <c r="L37" s="78"/>
    </row>
    <row r="38" spans="1:12">
      <c r="A38" s="79" t="s">
        <v>16</v>
      </c>
      <c r="B38" s="80"/>
      <c r="C38" s="81" t="s">
        <v>56</v>
      </c>
      <c r="D38" s="81" t="s">
        <v>17</v>
      </c>
      <c r="E38" s="81" t="s">
        <v>17</v>
      </c>
      <c r="F38" s="81"/>
      <c r="G38" s="81"/>
      <c r="H38" s="81"/>
      <c r="I38" s="81" t="s">
        <v>17</v>
      </c>
      <c r="J38" s="81"/>
      <c r="K38" s="81" t="s">
        <v>17</v>
      </c>
      <c r="L38" s="82" t="s">
        <v>17</v>
      </c>
    </row>
    <row r="39" spans="1:12">
      <c r="A39" s="41" t="s">
        <v>18</v>
      </c>
      <c r="B39" s="42"/>
      <c r="C39" s="47" t="s">
        <v>54</v>
      </c>
      <c r="D39" s="47" t="s">
        <v>19</v>
      </c>
      <c r="E39" s="47" t="s">
        <v>19</v>
      </c>
      <c r="F39" s="47"/>
      <c r="G39" s="47"/>
      <c r="H39" s="47"/>
      <c r="I39" s="47" t="s">
        <v>19</v>
      </c>
      <c r="J39" s="47"/>
      <c r="K39" s="47" t="s">
        <v>19</v>
      </c>
      <c r="L39" s="48" t="s">
        <v>19</v>
      </c>
    </row>
    <row r="40" spans="1:12">
      <c r="A40" s="45" t="s">
        <v>20</v>
      </c>
      <c r="B40" s="46"/>
      <c r="C40" s="47" t="s">
        <v>57</v>
      </c>
      <c r="D40" s="47" t="s">
        <v>21</v>
      </c>
      <c r="E40" s="47" t="s">
        <v>21</v>
      </c>
      <c r="F40" s="47"/>
      <c r="G40" s="47"/>
      <c r="H40" s="47"/>
      <c r="I40" s="47" t="s">
        <v>21</v>
      </c>
      <c r="J40" s="47"/>
      <c r="K40" s="47" t="s">
        <v>21</v>
      </c>
      <c r="L40" s="48" t="s">
        <v>21</v>
      </c>
    </row>
    <row r="41" spans="1:12" ht="27.75" customHeight="1">
      <c r="A41" s="41" t="s">
        <v>22</v>
      </c>
      <c r="B41" s="42"/>
      <c r="C41" s="47" t="s">
        <v>23</v>
      </c>
      <c r="D41" s="47" t="s">
        <v>23</v>
      </c>
      <c r="E41" s="47" t="s">
        <v>23</v>
      </c>
      <c r="F41" s="47"/>
      <c r="G41" s="47"/>
      <c r="H41" s="47"/>
      <c r="I41" s="47" t="s">
        <v>23</v>
      </c>
      <c r="J41" s="47"/>
      <c r="K41" s="47" t="s">
        <v>23</v>
      </c>
      <c r="L41" s="48" t="s">
        <v>23</v>
      </c>
    </row>
    <row r="42" spans="1:12">
      <c r="A42" s="45" t="s">
        <v>24</v>
      </c>
      <c r="B42" s="46"/>
      <c r="C42" s="47" t="s">
        <v>60</v>
      </c>
      <c r="D42" s="47" t="s">
        <v>25</v>
      </c>
      <c r="E42" s="47" t="s">
        <v>25</v>
      </c>
      <c r="F42" s="47"/>
      <c r="G42" s="47"/>
      <c r="H42" s="47"/>
      <c r="I42" s="47" t="s">
        <v>25</v>
      </c>
      <c r="J42" s="47"/>
      <c r="K42" s="47" t="s">
        <v>25</v>
      </c>
      <c r="L42" s="48" t="s">
        <v>25</v>
      </c>
    </row>
    <row r="43" spans="1:12">
      <c r="A43" s="45" t="s">
        <v>26</v>
      </c>
      <c r="B43" s="46"/>
      <c r="C43" s="47" t="s">
        <v>58</v>
      </c>
      <c r="D43" s="47" t="s">
        <v>27</v>
      </c>
      <c r="E43" s="47" t="s">
        <v>27</v>
      </c>
      <c r="F43" s="47"/>
      <c r="G43" s="47"/>
      <c r="H43" s="47"/>
      <c r="I43" s="47" t="s">
        <v>27</v>
      </c>
      <c r="J43" s="47"/>
      <c r="K43" s="47" t="s">
        <v>27</v>
      </c>
      <c r="L43" s="48" t="s">
        <v>27</v>
      </c>
    </row>
    <row r="44" spans="1:12">
      <c r="A44" s="45" t="s">
        <v>28</v>
      </c>
      <c r="B44" s="46"/>
      <c r="C44" s="47" t="s">
        <v>29</v>
      </c>
      <c r="D44" s="47" t="s">
        <v>29</v>
      </c>
      <c r="E44" s="47" t="s">
        <v>29</v>
      </c>
      <c r="F44" s="47"/>
      <c r="G44" s="47"/>
      <c r="H44" s="47"/>
      <c r="I44" s="47" t="s">
        <v>29</v>
      </c>
      <c r="J44" s="47"/>
      <c r="K44" s="47" t="s">
        <v>29</v>
      </c>
      <c r="L44" s="48" t="s">
        <v>29</v>
      </c>
    </row>
    <row r="45" spans="1:12">
      <c r="A45" s="45" t="s">
        <v>30</v>
      </c>
      <c r="B45" s="46"/>
      <c r="C45" s="47" t="s">
        <v>31</v>
      </c>
      <c r="D45" s="47" t="s">
        <v>31</v>
      </c>
      <c r="E45" s="47" t="s">
        <v>31</v>
      </c>
      <c r="F45" s="47"/>
      <c r="G45" s="47"/>
      <c r="H45" s="47"/>
      <c r="I45" s="47" t="s">
        <v>31</v>
      </c>
      <c r="J45" s="47"/>
      <c r="K45" s="47" t="s">
        <v>31</v>
      </c>
      <c r="L45" s="48" t="s">
        <v>31</v>
      </c>
    </row>
    <row r="46" spans="1:12" s="27" customFormat="1">
      <c r="A46" s="54" t="s">
        <v>32</v>
      </c>
      <c r="B46" s="55"/>
      <c r="C46" s="43" t="s">
        <v>33</v>
      </c>
      <c r="D46" s="43" t="s">
        <v>33</v>
      </c>
      <c r="E46" s="43" t="s">
        <v>33</v>
      </c>
      <c r="F46" s="43"/>
      <c r="G46" s="43"/>
      <c r="H46" s="43"/>
      <c r="I46" s="43" t="s">
        <v>33</v>
      </c>
      <c r="J46" s="43"/>
      <c r="K46" s="43" t="s">
        <v>33</v>
      </c>
      <c r="L46" s="44" t="s">
        <v>33</v>
      </c>
    </row>
    <row r="47" spans="1:12" s="27" customFormat="1" ht="75.75" customHeight="1">
      <c r="A47" s="56" t="s">
        <v>34</v>
      </c>
      <c r="B47" s="57"/>
      <c r="C47" s="43" t="s">
        <v>35</v>
      </c>
      <c r="D47" s="43" t="s">
        <v>35</v>
      </c>
      <c r="E47" s="43" t="s">
        <v>35</v>
      </c>
      <c r="F47" s="43"/>
      <c r="G47" s="43"/>
      <c r="H47" s="43"/>
      <c r="I47" s="43" t="s">
        <v>35</v>
      </c>
      <c r="J47" s="43"/>
      <c r="K47" s="43" t="s">
        <v>35</v>
      </c>
      <c r="L47" s="44" t="s">
        <v>35</v>
      </c>
    </row>
    <row r="48" spans="1:12" s="27" customFormat="1">
      <c r="A48" s="58" t="s">
        <v>36</v>
      </c>
      <c r="B48" s="59"/>
      <c r="C48" s="43" t="s">
        <v>37</v>
      </c>
      <c r="D48" s="43" t="s">
        <v>37</v>
      </c>
      <c r="E48" s="43" t="s">
        <v>37</v>
      </c>
      <c r="F48" s="43"/>
      <c r="G48" s="43"/>
      <c r="H48" s="43"/>
      <c r="I48" s="43" t="s">
        <v>37</v>
      </c>
      <c r="J48" s="43"/>
      <c r="K48" s="43" t="s">
        <v>37</v>
      </c>
      <c r="L48" s="44" t="s">
        <v>37</v>
      </c>
    </row>
    <row r="49" spans="1:12" s="27" customFormat="1" ht="100.5" customHeight="1">
      <c r="A49" s="41" t="s">
        <v>38</v>
      </c>
      <c r="B49" s="42"/>
      <c r="C49" s="43" t="s">
        <v>59</v>
      </c>
      <c r="D49" s="43" t="s">
        <v>39</v>
      </c>
      <c r="E49" s="43" t="s">
        <v>39</v>
      </c>
      <c r="F49" s="43"/>
      <c r="G49" s="43"/>
      <c r="H49" s="43"/>
      <c r="I49" s="43" t="s">
        <v>39</v>
      </c>
      <c r="J49" s="43"/>
      <c r="K49" s="43" t="s">
        <v>39</v>
      </c>
      <c r="L49" s="44" t="s">
        <v>39</v>
      </c>
    </row>
    <row r="50" spans="1:12" ht="48.75" customHeight="1">
      <c r="A50" s="45" t="s">
        <v>40</v>
      </c>
      <c r="B50" s="46"/>
      <c r="C50" s="47" t="s">
        <v>41</v>
      </c>
      <c r="D50" s="47" t="s">
        <v>41</v>
      </c>
      <c r="E50" s="47" t="s">
        <v>41</v>
      </c>
      <c r="F50" s="47"/>
      <c r="G50" s="47"/>
      <c r="H50" s="47"/>
      <c r="I50" s="47" t="s">
        <v>41</v>
      </c>
      <c r="J50" s="47"/>
      <c r="K50" s="47" t="s">
        <v>41</v>
      </c>
      <c r="L50" s="48" t="s">
        <v>41</v>
      </c>
    </row>
    <row r="51" spans="1:12" ht="13.5" thickBot="1">
      <c r="A51" s="49" t="s">
        <v>42</v>
      </c>
      <c r="B51" s="50"/>
      <c r="C51" s="51" t="s">
        <v>88</v>
      </c>
      <c r="D51" s="52" t="s">
        <v>43</v>
      </c>
      <c r="E51" s="52" t="s">
        <v>43</v>
      </c>
      <c r="F51" s="52"/>
      <c r="G51" s="52"/>
      <c r="H51" s="52"/>
      <c r="I51" s="52" t="s">
        <v>43</v>
      </c>
      <c r="J51" s="52"/>
      <c r="K51" s="52" t="s">
        <v>43</v>
      </c>
      <c r="L51" s="53" t="s">
        <v>43</v>
      </c>
    </row>
    <row r="52" spans="1:12" s="23" customFormat="1">
      <c r="A52" s="11"/>
      <c r="B52" s="11"/>
      <c r="C52" s="11"/>
      <c r="D52" s="11"/>
      <c r="E52" s="11"/>
      <c r="F52" s="11"/>
      <c r="G52" s="11"/>
      <c r="H52" s="11"/>
      <c r="I52" s="11"/>
      <c r="J52" s="11"/>
      <c r="K52" s="11"/>
      <c r="L52" s="11"/>
    </row>
  </sheetData>
  <mergeCells count="81">
    <mergeCell ref="A1:L1"/>
    <mergeCell ref="A2:B8"/>
    <mergeCell ref="C2:D5"/>
    <mergeCell ref="E2:I2"/>
    <mergeCell ref="J2:L2"/>
    <mergeCell ref="E3:I3"/>
    <mergeCell ref="J3:L3"/>
    <mergeCell ref="E4:I4"/>
    <mergeCell ref="J4:L4"/>
    <mergeCell ref="E5:I5"/>
    <mergeCell ref="G16:L16"/>
    <mergeCell ref="J5:L5"/>
    <mergeCell ref="C6:D6"/>
    <mergeCell ref="E6:I6"/>
    <mergeCell ref="J6:L6"/>
    <mergeCell ref="C7:D7"/>
    <mergeCell ref="E7:I7"/>
    <mergeCell ref="J7:L7"/>
    <mergeCell ref="C8:D8"/>
    <mergeCell ref="E8:I8"/>
    <mergeCell ref="J8:L8"/>
    <mergeCell ref="A9:L9"/>
    <mergeCell ref="A10:L10"/>
    <mergeCell ref="G17:L17"/>
    <mergeCell ref="G18:L18"/>
    <mergeCell ref="A19:L19"/>
    <mergeCell ref="A20:L20"/>
    <mergeCell ref="A21:B21"/>
    <mergeCell ref="C21:L21"/>
    <mergeCell ref="A22:B22"/>
    <mergeCell ref="C22:L22"/>
    <mergeCell ref="A23:B23"/>
    <mergeCell ref="C23:L23"/>
    <mergeCell ref="A24:B24"/>
    <mergeCell ref="C24:L24"/>
    <mergeCell ref="A25:B25"/>
    <mergeCell ref="C25:L25"/>
    <mergeCell ref="A26:B26"/>
    <mergeCell ref="C26:L26"/>
    <mergeCell ref="A27:B27"/>
    <mergeCell ref="C27:L27"/>
    <mergeCell ref="A39:B39"/>
    <mergeCell ref="C39:L39"/>
    <mergeCell ref="A28:B35"/>
    <mergeCell ref="C28:L28"/>
    <mergeCell ref="C29:L29"/>
    <mergeCell ref="C30:L30"/>
    <mergeCell ref="C31:L31"/>
    <mergeCell ref="C32:L32"/>
    <mergeCell ref="C33:L33"/>
    <mergeCell ref="C34:L34"/>
    <mergeCell ref="C35:L35"/>
    <mergeCell ref="A36:B36"/>
    <mergeCell ref="C36:L36"/>
    <mergeCell ref="A37:L37"/>
    <mergeCell ref="A38:B38"/>
    <mergeCell ref="C38:L38"/>
    <mergeCell ref="A40:B40"/>
    <mergeCell ref="C40:L40"/>
    <mergeCell ref="A41:B41"/>
    <mergeCell ref="C41:L41"/>
    <mergeCell ref="A42:B42"/>
    <mergeCell ref="C42:L42"/>
    <mergeCell ref="A43:B43"/>
    <mergeCell ref="C43:L43"/>
    <mergeCell ref="A44:B44"/>
    <mergeCell ref="C44:L44"/>
    <mergeCell ref="A45:B45"/>
    <mergeCell ref="C45:L45"/>
    <mergeCell ref="A46:B46"/>
    <mergeCell ref="C46:L46"/>
    <mergeCell ref="A47:B47"/>
    <mergeCell ref="C47:L47"/>
    <mergeCell ref="A48:B48"/>
    <mergeCell ref="C48:L48"/>
    <mergeCell ref="A49:B49"/>
    <mergeCell ref="C49:L49"/>
    <mergeCell ref="A50:B50"/>
    <mergeCell ref="C50:L50"/>
    <mergeCell ref="A51:B51"/>
    <mergeCell ref="C51:L51"/>
  </mergeCells>
  <hyperlinks>
    <hyperlink ref="C51" r:id="rId1" xr:uid="{13B6083E-D728-42C5-9EAA-2E8F135831AA}"/>
  </hyperlinks>
  <printOptions horizontalCentered="1" verticalCentered="1"/>
  <pageMargins left="7.8740157480315001E-2" right="7.8740157480315001E-2" top="7.8740157480315001E-2" bottom="7.8740157480315001E-2" header="7.8740157480315001E-2" footer="7.8740157480315001E-2"/>
  <pageSetup paperSize="8" orientation="portrait" r:id="rId2"/>
  <headerFooter>
    <oddHeader>&amp;C&amp;G</oddHeader>
    <oddFooter>&amp;C
&amp;R&amp;P / &amp;N</oddFooter>
  </headerFooter>
  <drawing r:id="rId3"/>
  <legacyDrawingHF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08AAA-7482-484F-9A2B-F33B512799C6}">
  <dimension ref="A1:G4"/>
  <sheetViews>
    <sheetView workbookViewId="0"/>
  </sheetViews>
  <sheetFormatPr defaultRowHeight="12.75"/>
  <cols>
    <col min="2" max="2" width="14.140625" bestFit="1" customWidth="1"/>
    <col min="3" max="7" width="0" hidden="1" customWidth="1"/>
  </cols>
  <sheetData>
    <row r="1" spans="1:7">
      <c r="A1" t="s">
        <v>167</v>
      </c>
      <c r="B1" s="36">
        <f>'HEALTHCARE  CISCO'!M45</f>
        <v>14211280</v>
      </c>
    </row>
    <row r="2" spans="1:7">
      <c r="A2" t="s">
        <v>168</v>
      </c>
      <c r="B2" s="36" cm="1">
        <f t="array" ref="B2:G2">'HEALTHCARE ARUBA '!G21:L21</f>
        <v>4954430</v>
      </c>
      <c r="C2">
        <v>0</v>
      </c>
      <c r="D2">
        <v>0</v>
      </c>
      <c r="E2" t="e">
        <v>#REF!</v>
      </c>
      <c r="F2" t="e">
        <v>#REF!</v>
      </c>
      <c r="G2" t="e">
        <v>#REF!</v>
      </c>
    </row>
    <row r="3" spans="1:7">
      <c r="A3" t="s">
        <v>169</v>
      </c>
      <c r="B3" s="36" cm="1">
        <f t="array" ref="B3:G3">'HEALTHCARE '!G16:L16</f>
        <v>1342614</v>
      </c>
      <c r="C3">
        <v>0</v>
      </c>
      <c r="D3">
        <v>0</v>
      </c>
      <c r="E3" t="e">
        <v>#REF!</v>
      </c>
      <c r="F3" t="e">
        <v>#REF!</v>
      </c>
      <c r="G3" t="e">
        <v>#REF!</v>
      </c>
    </row>
    <row r="4" spans="1:7">
      <c r="B4" s="37">
        <f>SUM(B1:B3)</f>
        <v>20508324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HEALTHCARE  CISCO</vt:lpstr>
      <vt:lpstr>HEALTHCARE ARUBA </vt:lpstr>
      <vt:lpstr>HEALTHCARE </vt:lpstr>
      <vt:lpstr>Summary</vt:lpstr>
      <vt:lpstr>'HEALTHCARE '!Print_Area</vt:lpstr>
      <vt:lpstr>'HEALTHCARE  CISCO'!Print_Area</vt:lpstr>
      <vt:lpstr>'HEALTHCARE ARUBA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2016-07-05T13:07:10Z</dcterms:created>
  <dcterms:modified xsi:type="dcterms:W3CDTF">2025-09-17T13:48:52Z</dcterms:modified>
</cp:coreProperties>
</file>