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385" windowHeight="8370" firstSheet="1" activeTab="1"/>
  </bookViews>
  <sheets>
    <sheet name="DV-IDENTITY-0" sheetId="1" state="veryHidden" r:id="rId1"/>
    <sheet name="Quote (2)" sheetId="2" r:id="rId2"/>
    <sheet name="Sheet1" sheetId="3" r:id="rId3"/>
  </sheets>
  <definedNames>
    <definedName name="_xlnm.Print_Area" localSheetId="1">'Quote (2)'!$A$1:$J$45</definedName>
    <definedName name="_xlnm.Print_Area">#REF!</definedName>
  </definedNames>
  <calcPr calcId="144525"/>
</workbook>
</file>

<file path=xl/sharedStrings.xml><?xml version="1.0" encoding="utf-8"?>
<sst xmlns="http://schemas.openxmlformats.org/spreadsheetml/2006/main" count="93">
  <si>
    <t>AAAAAEvf10o=</t>
  </si>
  <si>
    <t>AAAAAEvf10s=</t>
  </si>
  <si>
    <t>AAAAAEvf10w=</t>
  </si>
  <si>
    <t>AAAAAEvf100=</t>
  </si>
  <si>
    <t>AAAAAEvf104=</t>
  </si>
  <si>
    <t>AAAAAEvf108=</t>
  </si>
  <si>
    <t>AAAAAEvf11A=</t>
  </si>
  <si>
    <t>To :</t>
  </si>
  <si>
    <t>ABB</t>
  </si>
  <si>
    <t xml:space="preserve">Quote No. : </t>
  </si>
  <si>
    <t>CS/SQ-BLR/2017-18/ABB_1</t>
  </si>
  <si>
    <t xml:space="preserve">Date : </t>
  </si>
  <si>
    <t>07.07.2017</t>
  </si>
  <si>
    <t xml:space="preserve">Payment Term : </t>
  </si>
  <si>
    <t>50% advance and 50% against delivery.</t>
  </si>
  <si>
    <t xml:space="preserve">Inquiry  date : </t>
  </si>
  <si>
    <t>04.06.2017</t>
  </si>
  <si>
    <t xml:space="preserve">From : </t>
  </si>
  <si>
    <t>Shivakumar T.C.</t>
  </si>
  <si>
    <t>PH: :</t>
  </si>
  <si>
    <t>+91-9916977702</t>
  </si>
  <si>
    <t>Kind Atten : Mr.Manmohan Yadav</t>
  </si>
  <si>
    <t xml:space="preserve">E-mail ID : </t>
  </si>
  <si>
    <t>shivakumar@connectivitysolutions.in</t>
  </si>
  <si>
    <t>Quotation</t>
  </si>
  <si>
    <t>Dear Sir,
We thank you for giving Connectivity Solutions the opportunity to propose a solution for your business needs , Subject to our General Conditions of Sale of Goods as printed herein &amp; overleaf, we are pleased to submit our quotation for your requirement.</t>
  </si>
  <si>
    <t>No.</t>
  </si>
  <si>
    <t>Product</t>
  </si>
  <si>
    <t xml:space="preserve">Products Description
</t>
  </si>
  <si>
    <t>Q'ty</t>
  </si>
  <si>
    <t>Unit Price</t>
  </si>
  <si>
    <t>Extended Price</t>
  </si>
  <si>
    <t>TAX Type</t>
  </si>
  <si>
    <t>TAX %</t>
  </si>
  <si>
    <t>TAX Amount</t>
  </si>
  <si>
    <t>Total Price with Tax</t>
  </si>
  <si>
    <t>R&amp;M PRODUCTS</t>
  </si>
  <si>
    <t>R&amp;M</t>
  </si>
  <si>
    <t>CAT 6 ,7Feet patch cords of UTP</t>
  </si>
  <si>
    <t>GST</t>
  </si>
  <si>
    <t xml:space="preserve">                 Total (Without  Tax) in INR</t>
  </si>
  <si>
    <t xml:space="preserve">                                                                                                                                              Grand Total (With Tax) in INR</t>
  </si>
  <si>
    <t>Assuring you of our best attention at all times, and looking forward to your valuable order at the earliest.</t>
  </si>
  <si>
    <t>Terms &amp; Conditions</t>
  </si>
  <si>
    <t>Warranty</t>
  </si>
  <si>
    <t>As per OEM</t>
  </si>
  <si>
    <t xml:space="preserve">Delivery </t>
  </si>
  <si>
    <t>2 weeks  from the the date of Purchase Order.</t>
  </si>
  <si>
    <t>Taxation taken</t>
  </si>
  <si>
    <t>Taxes are subjected to change the time of billing</t>
  </si>
  <si>
    <t>Orders</t>
  </si>
  <si>
    <t>Kindly mention our Quotation Reference number in your Purchase order. Your order &amp; advance will be raised on M/s Connectivity IT Solutions Pvt. Ltd.</t>
  </si>
  <si>
    <t>Validity</t>
  </si>
  <si>
    <t>5 days</t>
  </si>
  <si>
    <t>Octroi</t>
  </si>
  <si>
    <t>As per actuals as per region and location delivery if applicable</t>
  </si>
  <si>
    <t>Installation</t>
  </si>
  <si>
    <t>NA</t>
  </si>
  <si>
    <t>GENERAL CONDITIONS OF SALE OF GOODS</t>
  </si>
  <si>
    <t>Freight</t>
  </si>
  <si>
    <t>Actual. if the delivery locations are other then Bangalore, Delhi &amp; Mumbai</t>
  </si>
  <si>
    <t>0.5% of PO value. if the delivery locations are other then Bangalore, Delhi &amp; Mumbai,Ahmedabad &amp; Pune</t>
  </si>
  <si>
    <t>Mode</t>
  </si>
  <si>
    <t>By Road, ( By Air cost as per actual if required- on Request)</t>
  </si>
  <si>
    <t xml:space="preserve">Packing </t>
  </si>
  <si>
    <t>Extra , incase special packing required</t>
  </si>
  <si>
    <t>Insurance</t>
  </si>
  <si>
    <t>Our scope up to delivery address given in PO. The same will arrange &amp; born by you incase delivery required other then PO address.</t>
  </si>
  <si>
    <t>Taxes</t>
  </si>
  <si>
    <t>As mentioned in the quote.</t>
  </si>
  <si>
    <t>Road Form</t>
  </si>
  <si>
    <t xml:space="preserve">Road Form OR stock transfer letter will be provided by you .( Will revise quote incase you are unable to provide the same), </t>
  </si>
  <si>
    <t>Octroi / Entry Tax</t>
  </si>
  <si>
    <t>To be paid by you as actual.</t>
  </si>
  <si>
    <t>Prices quoted are valid for acceptance up to a period of 15 days.</t>
  </si>
  <si>
    <t>Warranty Support</t>
  </si>
  <si>
    <t>To be provided by OEM ( as per their SLA / purchase service level).</t>
  </si>
  <si>
    <t>Product Manuals</t>
  </si>
  <si>
    <t>Manuals are integrated with the electronic help system or as per OEM standard.</t>
  </si>
  <si>
    <t>LD Clause</t>
  </si>
  <si>
    <t>We do not accept LD unless agreed.</t>
  </si>
  <si>
    <t>Cancellation Charges</t>
  </si>
  <si>
    <t>zero % of PO value within first 5 days ,20%  5- 15 days , no cancellation acceptable after 20 days.</t>
  </si>
  <si>
    <t>Damage In transit</t>
  </si>
  <si>
    <t>All goods are insured in transit. Buyer will inspect the goods immediately on arrival thereof and will, within 2 days from the date of arrival give the notice of any damage/loss in transit found in the goods. If the Buyer fails to give such notice, goods will be deemed to be in order and no claim from the Buyer will be entertained thereafter.</t>
  </si>
  <si>
    <t>Late Payment</t>
  </si>
  <si>
    <t>Interest @ 24% per annum will be levied if paid beyond the due date</t>
  </si>
  <si>
    <t>Force Majeure Clause</t>
  </si>
  <si>
    <t>This offer is submitted on the understanding that the Company will not be responsible for delay or failure to execute orders if such delay or failure is due to causes unforeseen ( export hold) or beyond the control of the Company such as Strikes, riots or civil commotion, fire, floods, damage or accident to Machinery, non-availability or raw materials/components, non-availability Of transport facilities and such other causes beyond the Company’s control.</t>
  </si>
  <si>
    <t>Arbitration</t>
  </si>
  <si>
    <t>All disputes would be settled mutually. In case of any difference, a mutually appointed arbitrator’s decision would be binding on both parties. The Company’s Head Office being in Bangalore ,it is always understood that  the cause of action in all contracts shall be deemed to have arisen in Bangalore.  All disputes would therefore be settled within the jurisdiction of Bangalore.</t>
  </si>
  <si>
    <t>Our Website</t>
  </si>
  <si>
    <t>www.connectivitysolutions.in</t>
  </si>
</sst>
</file>

<file path=xl/styles.xml><?xml version="1.0" encoding="utf-8"?>
<styleSheet xmlns="http://schemas.openxmlformats.org/spreadsheetml/2006/main">
  <numFmts count="10">
    <numFmt numFmtId="41" formatCode="_-* #,##0_-;\-* #,##0_-;_-* &quot;-&quot;_-;_-@_-"/>
    <numFmt numFmtId="44" formatCode="_-&quot;£&quot;* #,##0.00_-;\-&quot;£&quot;* #,##0.00_-;_-&quot;£&quot;* &quot;-&quot;??_-;_-@_-"/>
    <numFmt numFmtId="42" formatCode="_-&quot;£&quot;* #,##0_-;\-&quot;£&quot;* #,##0_-;_-&quot;£&quot;* &quot;-&quot;_-;_-@_-"/>
    <numFmt numFmtId="176" formatCode="&quot;$&quot;#,##0.00_);[Red]\(&quot;$&quot;#,##0.00\)"/>
    <numFmt numFmtId="177" formatCode="_(* #,##0_);_(* \(#,##0\);_(* &quot;-&quot;_);_(@_)"/>
    <numFmt numFmtId="178" formatCode="_(* #,##0.00_);_(* \(#,##0.00\);_(* &quot;-&quot;??_);_(@_)"/>
    <numFmt numFmtId="179" formatCode="[$-409]d\-mmm\-yy;@"/>
    <numFmt numFmtId="180" formatCode="0.0%"/>
    <numFmt numFmtId="181" formatCode="0_ "/>
    <numFmt numFmtId="182" formatCode="#,##0.00_ ;[Red]\-#,##0.00\ "/>
  </numFmts>
  <fonts count="46">
    <font>
      <sz val="10"/>
      <name val="Geneva"/>
      <charset val="134"/>
    </font>
    <font>
      <b/>
      <u/>
      <sz val="8"/>
      <name val="Microsoft Sans Serif"/>
      <charset val="134"/>
    </font>
    <font>
      <sz val="8"/>
      <name val="Microsoft Sans Serif"/>
      <charset val="134"/>
    </font>
    <font>
      <b/>
      <sz val="8"/>
      <name val="Microsoft Sans Serif"/>
      <charset val="134"/>
    </font>
    <font>
      <sz val="8"/>
      <name val="Calibri"/>
      <charset val="134"/>
      <scheme val="minor"/>
    </font>
    <font>
      <b/>
      <sz val="10"/>
      <name val="Calibri"/>
      <charset val="134"/>
      <scheme val="minor"/>
    </font>
    <font>
      <b/>
      <sz val="20"/>
      <name val="Calibri"/>
      <charset val="134"/>
      <scheme val="minor"/>
    </font>
    <font>
      <sz val="10"/>
      <name val="Calibri"/>
      <charset val="134"/>
      <scheme val="minor"/>
    </font>
    <font>
      <b/>
      <sz val="11"/>
      <name val="Calibri"/>
      <charset val="134"/>
      <scheme val="minor"/>
    </font>
    <font>
      <sz val="11"/>
      <name val="Calibri"/>
      <charset val="134"/>
      <scheme val="minor"/>
    </font>
    <font>
      <u/>
      <sz val="10"/>
      <color theme="10"/>
      <name val="Geneva"/>
      <charset val="134"/>
    </font>
    <font>
      <b/>
      <u/>
      <sz val="11"/>
      <name val="Calibri"/>
      <charset val="134"/>
      <scheme val="minor"/>
    </font>
    <font>
      <b/>
      <u/>
      <sz val="10"/>
      <color theme="0"/>
      <name val="Calibri"/>
      <charset val="134"/>
      <scheme val="minor"/>
    </font>
    <font>
      <b/>
      <u/>
      <sz val="11"/>
      <color theme="0"/>
      <name val="Calibri"/>
      <charset val="134"/>
      <scheme val="minor"/>
    </font>
    <font>
      <b/>
      <sz val="9"/>
      <color rgb="FF000000"/>
      <name val="Verdana"/>
      <charset val="134"/>
    </font>
    <font>
      <sz val="9"/>
      <name val="Helvetica"/>
      <charset val="134"/>
    </font>
    <font>
      <sz val="10"/>
      <color indexed="8"/>
      <name val="Calibri"/>
      <charset val="134"/>
      <scheme val="minor"/>
    </font>
    <font>
      <b/>
      <sz val="10"/>
      <name val="Geneva"/>
      <charset val="134"/>
    </font>
    <font>
      <b/>
      <sz val="11"/>
      <color indexed="8"/>
      <name val="Calibri"/>
      <charset val="134"/>
      <scheme val="minor"/>
    </font>
    <font>
      <b/>
      <sz val="10"/>
      <color theme="1"/>
      <name val="Calibri"/>
      <charset val="134"/>
      <scheme val="minor"/>
    </font>
    <font>
      <b/>
      <sz val="11"/>
      <color rgb="FF002060"/>
      <name val="Calibri"/>
      <charset val="134"/>
      <scheme val="minor"/>
    </font>
    <font>
      <b/>
      <sz val="10"/>
      <color rgb="FF002060"/>
      <name val="Calibri"/>
      <charset val="134"/>
      <scheme val="minor"/>
    </font>
    <font>
      <b/>
      <u/>
      <sz val="10"/>
      <name val="Calibri"/>
      <charset val="134"/>
      <scheme val="minor"/>
    </font>
    <font>
      <b/>
      <sz val="12"/>
      <color rgb="FF002060"/>
      <name val="Calibri"/>
      <charset val="134"/>
      <scheme val="minor"/>
    </font>
    <font>
      <sz val="10"/>
      <name val="Arial"/>
      <charset val="134"/>
    </font>
    <font>
      <sz val="10"/>
      <name val="Helv"/>
      <charset val="134"/>
    </font>
    <font>
      <sz val="11"/>
      <color theme="1"/>
      <name val="Calibri"/>
      <charset val="0"/>
      <scheme val="minor"/>
    </font>
    <font>
      <sz val="11"/>
      <color rgb="FFFF0000"/>
      <name val="Calibri"/>
      <charset val="0"/>
      <scheme val="minor"/>
    </font>
    <font>
      <sz val="11"/>
      <color theme="1"/>
      <name val="Calibri"/>
      <charset val="134"/>
      <scheme val="minor"/>
    </font>
    <font>
      <b/>
      <sz val="11"/>
      <color rgb="FFFFFFFF"/>
      <name val="Calibri"/>
      <charset val="0"/>
      <scheme val="minor"/>
    </font>
    <font>
      <b/>
      <sz val="13"/>
      <color theme="3"/>
      <name val="Calibri"/>
      <charset val="134"/>
      <scheme val="minor"/>
    </font>
    <font>
      <sz val="11"/>
      <color rgb="FF9C0006"/>
      <name val="Calibri"/>
      <charset val="0"/>
      <scheme val="minor"/>
    </font>
    <font>
      <b/>
      <sz val="11"/>
      <color theme="3"/>
      <name val="Calibri"/>
      <charset val="134"/>
      <scheme val="minor"/>
    </font>
    <font>
      <i/>
      <sz val="11"/>
      <color rgb="FF7F7F7F"/>
      <name val="Calibri"/>
      <charset val="0"/>
      <scheme val="minor"/>
    </font>
    <font>
      <u/>
      <sz val="11"/>
      <color rgb="FF800080"/>
      <name val="Calibri"/>
      <charset val="0"/>
      <scheme val="minor"/>
    </font>
    <font>
      <sz val="11"/>
      <color indexed="8"/>
      <name val="Calibri"/>
      <charset val="134"/>
    </font>
    <font>
      <sz val="11"/>
      <color theme="0"/>
      <name val="Calibri"/>
      <charset val="0"/>
      <scheme val="minor"/>
    </font>
    <font>
      <b/>
      <sz val="11"/>
      <color theme="1"/>
      <name val="Calibri"/>
      <charset val="0"/>
      <scheme val="minor"/>
    </font>
    <font>
      <b/>
      <sz val="18"/>
      <color theme="3"/>
      <name val="Calibri"/>
      <charset val="134"/>
      <scheme val="minor"/>
    </font>
    <font>
      <b/>
      <sz val="11"/>
      <color rgb="FF3F3F3F"/>
      <name val="Calibri"/>
      <charset val="0"/>
      <scheme val="minor"/>
    </font>
    <font>
      <b/>
      <sz val="15"/>
      <color theme="3"/>
      <name val="Calibri"/>
      <charset val="134"/>
      <scheme val="minor"/>
    </font>
    <font>
      <sz val="11"/>
      <color rgb="FF9C6500"/>
      <name val="Calibri"/>
      <charset val="0"/>
      <scheme val="minor"/>
    </font>
    <font>
      <sz val="11"/>
      <color rgb="FF3F3F76"/>
      <name val="Calibri"/>
      <charset val="0"/>
      <scheme val="minor"/>
    </font>
    <font>
      <sz val="11"/>
      <color rgb="FFFA7D00"/>
      <name val="Calibri"/>
      <charset val="0"/>
      <scheme val="minor"/>
    </font>
    <font>
      <sz val="11"/>
      <color rgb="FF006100"/>
      <name val="Calibri"/>
      <charset val="0"/>
      <scheme val="minor"/>
    </font>
    <font>
      <b/>
      <sz val="11"/>
      <color rgb="FFFA7D00"/>
      <name val="Calibri"/>
      <charset val="0"/>
      <scheme val="minor"/>
    </font>
  </fonts>
  <fills count="37">
    <fill>
      <patternFill patternType="none"/>
    </fill>
    <fill>
      <patternFill patternType="gray125"/>
    </fill>
    <fill>
      <patternFill patternType="solid">
        <fgColor indexed="22"/>
        <bgColor indexed="64"/>
      </patternFill>
    </fill>
    <fill>
      <patternFill patternType="solid">
        <fgColor theme="8" tint="-0.249977111117893"/>
        <bgColor indexed="64"/>
      </patternFill>
    </fill>
    <fill>
      <patternFill patternType="solid">
        <fgColor theme="0"/>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799981688894314"/>
        <bgColor indexed="64"/>
      </patternFill>
    </fill>
  </fills>
  <borders count="52">
    <border>
      <left/>
      <right/>
      <top/>
      <bottom/>
      <diagonal/>
    </border>
    <border>
      <left style="hair">
        <color auto="1"/>
      </left>
      <right style="hair">
        <color auto="1"/>
      </right>
      <top style="hair">
        <color auto="1"/>
      </top>
      <bottom/>
      <diagonal/>
    </border>
    <border>
      <left style="thin">
        <color auto="1"/>
      </left>
      <right/>
      <top style="thin">
        <color auto="1"/>
      </top>
      <bottom/>
      <diagonal/>
    </border>
    <border>
      <left/>
      <right/>
      <top style="thin">
        <color auto="1"/>
      </top>
      <bottom/>
      <diagonal/>
    </border>
    <border>
      <left/>
      <right style="hair">
        <color auto="1"/>
      </right>
      <top style="thin">
        <color auto="1"/>
      </top>
      <bottom/>
      <diagonal/>
    </border>
    <border>
      <left style="hair">
        <color auto="1"/>
      </left>
      <right/>
      <top style="thin">
        <color auto="1"/>
      </top>
      <bottom/>
      <diagonal/>
    </border>
    <border>
      <left style="hair">
        <color auto="1"/>
      </left>
      <right/>
      <top style="thin">
        <color auto="1"/>
      </top>
      <bottom style="hair">
        <color auto="1"/>
      </bottom>
      <diagonal/>
    </border>
    <border>
      <left/>
      <right/>
      <top style="thin">
        <color auto="1"/>
      </top>
      <bottom style="hair">
        <color auto="1"/>
      </bottom>
      <diagonal/>
    </border>
    <border>
      <left style="thin">
        <color auto="1"/>
      </left>
      <right/>
      <top/>
      <bottom/>
      <diagonal/>
    </border>
    <border>
      <left/>
      <right style="hair">
        <color auto="1"/>
      </right>
      <top/>
      <bottom/>
      <diagonal/>
    </border>
    <border>
      <left style="hair">
        <color auto="1"/>
      </left>
      <right/>
      <top/>
      <bottom/>
      <diagonal/>
    </border>
    <border>
      <left style="hair">
        <color auto="1"/>
      </left>
      <right/>
      <top style="hair">
        <color auto="1"/>
      </top>
      <bottom style="hair">
        <color auto="1"/>
      </bottom>
      <diagonal/>
    </border>
    <border>
      <left/>
      <right/>
      <top style="hair">
        <color auto="1"/>
      </top>
      <bottom style="hair">
        <color auto="1"/>
      </bottom>
      <diagonal/>
    </border>
    <border>
      <left style="hair">
        <color auto="1"/>
      </left>
      <right/>
      <top/>
      <bottom style="hair">
        <color auto="1"/>
      </bottom>
      <diagonal/>
    </border>
    <border>
      <left/>
      <right style="hair">
        <color auto="1"/>
      </right>
      <top/>
      <bottom style="hair">
        <color auto="1"/>
      </bottom>
      <diagonal/>
    </border>
    <border>
      <left style="thin">
        <color auto="1"/>
      </left>
      <right/>
      <top/>
      <bottom style="hair">
        <color auto="1"/>
      </bottom>
      <diagonal/>
    </border>
    <border>
      <left/>
      <right style="hair">
        <color auto="1"/>
      </right>
      <top style="hair">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thin">
        <color auto="1"/>
      </left>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top style="hair">
        <color auto="1"/>
      </top>
      <bottom style="thin">
        <color auto="1"/>
      </bottom>
      <diagonal/>
    </border>
    <border>
      <left/>
      <right style="thin">
        <color auto="1"/>
      </right>
      <top style="thin">
        <color auto="1"/>
      </top>
      <bottom/>
      <diagonal/>
    </border>
    <border>
      <left/>
      <right style="thin">
        <color auto="1"/>
      </right>
      <top style="thin">
        <color auto="1"/>
      </top>
      <bottom style="hair">
        <color auto="1"/>
      </bottom>
      <diagonal/>
    </border>
    <border>
      <left/>
      <right style="thin">
        <color auto="1"/>
      </right>
      <top style="hair">
        <color auto="1"/>
      </top>
      <bottom style="hair">
        <color auto="1"/>
      </bottom>
      <diagonal/>
    </border>
    <border>
      <left style="hair">
        <color auto="1"/>
      </left>
      <right style="thin">
        <color auto="1"/>
      </right>
      <top style="hair">
        <color auto="1"/>
      </top>
      <bottom style="hair">
        <color auto="1"/>
      </bottom>
      <diagonal/>
    </border>
    <border>
      <left/>
      <right style="thin">
        <color auto="1"/>
      </right>
      <top style="hair">
        <color auto="1"/>
      </top>
      <bottom style="thin">
        <color auto="1"/>
      </bottom>
      <diagonal/>
    </border>
    <border>
      <left/>
      <right style="hair">
        <color auto="1"/>
      </right>
      <top style="hair">
        <color auto="1"/>
      </top>
      <bottom/>
      <diagonal/>
    </border>
    <border>
      <left/>
      <right style="thin">
        <color auto="1"/>
      </right>
      <top/>
      <bottom/>
      <diagonal/>
    </border>
    <border>
      <left style="hair">
        <color auto="1"/>
      </left>
      <right style="thin">
        <color auto="1"/>
      </right>
      <top style="thin">
        <color auto="1"/>
      </top>
      <bottom style="hair">
        <color auto="1"/>
      </bottom>
      <diagonal/>
    </border>
    <border>
      <left style="hair">
        <color auto="1"/>
      </left>
      <right style="thin">
        <color auto="1"/>
      </right>
      <top style="hair">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6">
    <xf numFmtId="0" fontId="0" fillId="0" borderId="0"/>
    <xf numFmtId="0" fontId="26" fillId="8" borderId="0" applyNumberFormat="0" applyBorder="0" applyAlignment="0" applyProtection="0">
      <alignment vertical="center"/>
    </xf>
    <xf numFmtId="178" fontId="0" fillId="0" borderId="0" applyFont="0" applyFill="0" applyBorder="0" applyAlignment="0" applyProtection="0"/>
    <xf numFmtId="41" fontId="0" fillId="0" borderId="0" applyFont="0" applyFill="0" applyBorder="0" applyAlignment="0" applyProtection="0"/>
    <xf numFmtId="42"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35" fillId="0" borderId="0" applyFont="0" applyFill="0" applyBorder="0" applyAlignment="0" applyProtection="0"/>
    <xf numFmtId="0" fontId="29" fillId="9" borderId="44" applyNumberFormat="0" applyAlignment="0" applyProtection="0">
      <alignment vertical="center"/>
    </xf>
    <xf numFmtId="0" fontId="30" fillId="0" borderId="45" applyNumberFormat="0" applyFill="0" applyAlignment="0" applyProtection="0">
      <alignment vertical="center"/>
    </xf>
    <xf numFmtId="0" fontId="28" fillId="21" borderId="49" applyNumberFormat="0" applyFont="0" applyAlignment="0" applyProtection="0">
      <alignment vertical="center"/>
    </xf>
    <xf numFmtId="0" fontId="10" fillId="0" borderId="0" applyNumberFormat="0" applyFill="0" applyBorder="0" applyAlignment="0" applyProtection="0"/>
    <xf numFmtId="0" fontId="0" fillId="0" borderId="0"/>
    <xf numFmtId="0" fontId="36" fillId="26" borderId="0" applyNumberFormat="0" applyBorder="0" applyAlignment="0" applyProtection="0">
      <alignment vertical="center"/>
    </xf>
    <xf numFmtId="0" fontId="34" fillId="0" borderId="0" applyNumberFormat="0" applyFill="0" applyBorder="0" applyAlignment="0" applyProtection="0">
      <alignment vertical="center"/>
    </xf>
    <xf numFmtId="0" fontId="24" fillId="0" borderId="0"/>
    <xf numFmtId="0" fontId="26" fillId="7" borderId="0" applyNumberFormat="0" applyBorder="0" applyAlignment="0" applyProtection="0">
      <alignment vertical="center"/>
    </xf>
    <xf numFmtId="0" fontId="27" fillId="0" borderId="0" applyNumberFormat="0" applyFill="0" applyBorder="0" applyAlignment="0" applyProtection="0">
      <alignment vertical="center"/>
    </xf>
    <xf numFmtId="0" fontId="26" fillId="13" borderId="0" applyNumberFormat="0" applyBorder="0" applyAlignment="0" applyProtection="0">
      <alignment vertical="center"/>
    </xf>
    <xf numFmtId="0" fontId="38"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0" fillId="0" borderId="45" applyNumberFormat="0" applyFill="0" applyAlignment="0" applyProtection="0">
      <alignment vertical="center"/>
    </xf>
    <xf numFmtId="0" fontId="32" fillId="0" borderId="47" applyNumberFormat="0" applyFill="0" applyAlignment="0" applyProtection="0">
      <alignment vertical="center"/>
    </xf>
    <xf numFmtId="0" fontId="32" fillId="0" borderId="0" applyNumberFormat="0" applyFill="0" applyBorder="0" applyAlignment="0" applyProtection="0">
      <alignment vertical="center"/>
    </xf>
    <xf numFmtId="0" fontId="42" fillId="25" borderId="50" applyNumberFormat="0" applyAlignment="0" applyProtection="0">
      <alignment vertical="center"/>
    </xf>
    <xf numFmtId="0" fontId="36" fillId="29" borderId="0" applyNumberFormat="0" applyBorder="0" applyAlignment="0" applyProtection="0">
      <alignment vertical="center"/>
    </xf>
    <xf numFmtId="0" fontId="44" fillId="33" borderId="0" applyNumberFormat="0" applyBorder="0" applyAlignment="0" applyProtection="0">
      <alignment vertical="center"/>
    </xf>
    <xf numFmtId="0" fontId="39" fillId="20" borderId="48" applyNumberFormat="0" applyAlignment="0" applyProtection="0">
      <alignment vertical="center"/>
    </xf>
    <xf numFmtId="0" fontId="26" fillId="36" borderId="0" applyNumberFormat="0" applyBorder="0" applyAlignment="0" applyProtection="0">
      <alignment vertical="center"/>
    </xf>
    <xf numFmtId="0" fontId="45" fillId="20" borderId="50" applyNumberFormat="0" applyAlignment="0" applyProtection="0">
      <alignment vertical="center"/>
    </xf>
    <xf numFmtId="0" fontId="43" fillId="0" borderId="51" applyNumberFormat="0" applyFill="0" applyAlignment="0" applyProtection="0">
      <alignment vertical="center"/>
    </xf>
    <xf numFmtId="0" fontId="37" fillId="0" borderId="46" applyNumberFormat="0" applyFill="0" applyAlignment="0" applyProtection="0">
      <alignment vertical="center"/>
    </xf>
    <xf numFmtId="0" fontId="31" fillId="12" borderId="0" applyNumberFormat="0" applyBorder="0" applyAlignment="0" applyProtection="0">
      <alignment vertical="center"/>
    </xf>
    <xf numFmtId="0" fontId="41" fillId="24" borderId="0" applyNumberFormat="0" applyBorder="0" applyAlignment="0" applyProtection="0">
      <alignment vertical="center"/>
    </xf>
    <xf numFmtId="0" fontId="36" fillId="19" borderId="0" applyNumberFormat="0" applyBorder="0" applyAlignment="0" applyProtection="0">
      <alignment vertical="center"/>
    </xf>
    <xf numFmtId="0" fontId="24" fillId="0" borderId="0"/>
    <xf numFmtId="0" fontId="26" fillId="35" borderId="0" applyNumberFormat="0" applyBorder="0" applyAlignment="0" applyProtection="0">
      <alignment vertical="center"/>
    </xf>
    <xf numFmtId="0" fontId="36" fillId="28" borderId="0" applyNumberFormat="0" applyBorder="0" applyAlignment="0" applyProtection="0">
      <alignment vertical="center"/>
    </xf>
    <xf numFmtId="0" fontId="36" fillId="16" borderId="0" applyNumberFormat="0" applyBorder="0" applyAlignment="0" applyProtection="0">
      <alignment vertical="center"/>
    </xf>
    <xf numFmtId="0" fontId="26" fillId="32" borderId="0" applyNumberFormat="0" applyBorder="0" applyAlignment="0" applyProtection="0">
      <alignment vertical="center"/>
    </xf>
    <xf numFmtId="0" fontId="26" fillId="31" borderId="0" applyNumberFormat="0" applyBorder="0" applyAlignment="0" applyProtection="0">
      <alignment vertical="center"/>
    </xf>
    <xf numFmtId="0" fontId="36" fillId="23" borderId="0" applyNumberFormat="0" applyBorder="0" applyAlignment="0" applyProtection="0">
      <alignment vertical="center"/>
    </xf>
    <xf numFmtId="0" fontId="36" fillId="18" borderId="0" applyNumberFormat="0" applyBorder="0" applyAlignment="0" applyProtection="0">
      <alignment vertical="center"/>
    </xf>
    <xf numFmtId="0" fontId="26" fillId="34" borderId="0" applyNumberFormat="0" applyBorder="0" applyAlignment="0" applyProtection="0">
      <alignment vertical="center"/>
    </xf>
    <xf numFmtId="0" fontId="36" fillId="15" borderId="0" applyNumberFormat="0" applyBorder="0" applyAlignment="0" applyProtection="0">
      <alignment vertical="center"/>
    </xf>
    <xf numFmtId="0" fontId="26" fillId="30" borderId="0" applyNumberFormat="0" applyBorder="0" applyAlignment="0" applyProtection="0">
      <alignment vertical="center"/>
    </xf>
    <xf numFmtId="0" fontId="26" fillId="11" borderId="0" applyNumberFormat="0" applyBorder="0" applyAlignment="0" applyProtection="0">
      <alignment vertical="center"/>
    </xf>
    <xf numFmtId="0" fontId="36" fillId="17" borderId="0" applyNumberFormat="0" applyBorder="0" applyAlignment="0" applyProtection="0">
      <alignment vertical="center"/>
    </xf>
    <xf numFmtId="0" fontId="26" fillId="6" borderId="0" applyNumberFormat="0" applyBorder="0" applyAlignment="0" applyProtection="0">
      <alignment vertical="center"/>
    </xf>
    <xf numFmtId="0" fontId="36" fillId="27" borderId="0" applyNumberFormat="0" applyBorder="0" applyAlignment="0" applyProtection="0">
      <alignment vertical="center"/>
    </xf>
    <xf numFmtId="9" fontId="35" fillId="0" borderId="0" applyFont="0" applyFill="0" applyBorder="0" applyAlignment="0" applyProtection="0"/>
    <xf numFmtId="0" fontId="36" fillId="14" borderId="0" applyNumberFormat="0" applyBorder="0" applyAlignment="0" applyProtection="0">
      <alignment vertical="center"/>
    </xf>
    <xf numFmtId="0" fontId="26" fillId="10" borderId="0" applyNumberFormat="0" applyBorder="0" applyAlignment="0" applyProtection="0">
      <alignment vertical="center"/>
    </xf>
    <xf numFmtId="0" fontId="25" fillId="0" borderId="0"/>
    <xf numFmtId="0" fontId="36" fillId="22" borderId="0" applyNumberFormat="0" applyBorder="0" applyAlignment="0" applyProtection="0">
      <alignment vertical="center"/>
    </xf>
    <xf numFmtId="0" fontId="24" fillId="0" borderId="0"/>
    <xf numFmtId="177" fontId="35" fillId="0" borderId="0" applyFont="0" applyFill="0" applyBorder="0" applyAlignment="0" applyProtection="0"/>
  </cellStyleXfs>
  <cellXfs count="133">
    <xf numFmtId="0" fontId="0" fillId="0" borderId="0" xfId="0"/>
    <xf numFmtId="0" fontId="1" fillId="0" borderId="0" xfId="0" applyFont="1" applyAlignment="1">
      <alignment vertical="center"/>
    </xf>
    <xf numFmtId="0" fontId="2" fillId="0" borderId="1" xfId="0" applyNumberFormat="1" applyFont="1" applyBorder="1" applyAlignment="1">
      <alignment horizontal="center" vertical="center" wrapText="1"/>
    </xf>
    <xf numFmtId="178" fontId="3" fillId="2" borderId="0" xfId="0" applyNumberFormat="1" applyFont="1" applyFill="1" applyBorder="1" applyAlignment="1">
      <alignment horizontal="center" vertical="center"/>
    </xf>
    <xf numFmtId="0" fontId="2" fillId="0" borderId="0" xfId="0" applyNumberFormat="1" applyFont="1" applyAlignment="1">
      <alignment horizontal="center" vertical="center"/>
    </xf>
    <xf numFmtId="0" fontId="2" fillId="0" borderId="0" xfId="0" applyFont="1" applyAlignment="1">
      <alignment vertical="center" wrapText="1"/>
    </xf>
    <xf numFmtId="0" fontId="2" fillId="0" borderId="0" xfId="0" applyFont="1" applyAlignment="1">
      <alignment horizontal="center" vertical="center"/>
    </xf>
    <xf numFmtId="178" fontId="2" fillId="0" borderId="0" xfId="2" applyFont="1" applyAlignment="1">
      <alignment horizontal="center" vertical="center"/>
    </xf>
    <xf numFmtId="178" fontId="2" fillId="0" borderId="0" xfId="2" applyFont="1" applyAlignment="1">
      <alignment vertical="center"/>
    </xf>
    <xf numFmtId="176" fontId="2" fillId="0" borderId="0" xfId="0" applyNumberFormat="1" applyFont="1" applyAlignment="1">
      <alignment horizontal="center" vertical="center"/>
    </xf>
    <xf numFmtId="0" fontId="2" fillId="0" borderId="0" xfId="0" applyFont="1" applyAlignment="1">
      <alignment vertical="center"/>
    </xf>
    <xf numFmtId="0" fontId="4" fillId="0" borderId="2" xfId="0" applyNumberFormat="1" applyFont="1" applyBorder="1" applyAlignment="1">
      <alignment horizontal="left" vertical="center"/>
    </xf>
    <xf numFmtId="0" fontId="4" fillId="0" borderId="3" xfId="0" applyNumberFormat="1" applyFont="1" applyBorder="1" applyAlignment="1">
      <alignment horizontal="left" vertical="center"/>
    </xf>
    <xf numFmtId="0" fontId="5" fillId="0" borderId="2" xfId="0" applyNumberFormat="1" applyFont="1" applyBorder="1" applyAlignment="1">
      <alignment horizontal="center" vertical="center"/>
    </xf>
    <xf numFmtId="0" fontId="5" fillId="0" borderId="4" xfId="0" applyNumberFormat="1" applyFont="1" applyBorder="1" applyAlignment="1">
      <alignment horizontal="center" vertical="center"/>
    </xf>
    <xf numFmtId="0" fontId="6" fillId="0" borderId="5" xfId="0" applyFont="1" applyBorder="1" applyAlignment="1">
      <alignment horizontal="center" vertical="center" wrapText="1"/>
    </xf>
    <xf numFmtId="0" fontId="6" fillId="0" borderId="4" xfId="0" applyFont="1" applyBorder="1" applyAlignment="1">
      <alignment horizontal="center" vertical="center"/>
    </xf>
    <xf numFmtId="178" fontId="7" fillId="0" borderId="6" xfId="2" applyFont="1" applyBorder="1" applyAlignment="1">
      <alignment vertical="center"/>
    </xf>
    <xf numFmtId="38" fontId="7" fillId="0" borderId="6" xfId="0" applyNumberFormat="1" applyFont="1" applyBorder="1" applyAlignment="1">
      <alignment horizontal="left" vertical="center"/>
    </xf>
    <xf numFmtId="38" fontId="7" fillId="0" borderId="7" xfId="0" applyNumberFormat="1" applyFont="1" applyBorder="1" applyAlignment="1">
      <alignment horizontal="left" vertical="center"/>
    </xf>
    <xf numFmtId="0" fontId="5" fillId="0" borderId="8" xfId="0" applyNumberFormat="1" applyFont="1" applyBorder="1" applyAlignment="1">
      <alignment horizontal="center" vertical="center"/>
    </xf>
    <xf numFmtId="0" fontId="5" fillId="0" borderId="9" xfId="0" applyNumberFormat="1" applyFont="1" applyBorder="1" applyAlignment="1">
      <alignment horizontal="center" vertical="center"/>
    </xf>
    <xf numFmtId="0" fontId="6" fillId="0" borderId="10" xfId="0" applyFont="1" applyBorder="1" applyAlignment="1">
      <alignment horizontal="center" vertical="center"/>
    </xf>
    <xf numFmtId="0" fontId="6" fillId="0" borderId="9" xfId="0" applyFont="1" applyBorder="1" applyAlignment="1">
      <alignment horizontal="center" vertical="center"/>
    </xf>
    <xf numFmtId="178" fontId="7" fillId="0" borderId="11" xfId="2" applyFont="1" applyBorder="1" applyAlignment="1">
      <alignment vertical="center"/>
    </xf>
    <xf numFmtId="179" fontId="7" fillId="0" borderId="11" xfId="0" applyNumberFormat="1" applyFont="1" applyBorder="1" applyAlignment="1">
      <alignment horizontal="left" vertical="center"/>
    </xf>
    <xf numFmtId="179" fontId="7" fillId="0" borderId="12" xfId="0" applyNumberFormat="1" applyFont="1" applyBorder="1" applyAlignment="1">
      <alignment horizontal="left" vertical="center"/>
    </xf>
    <xf numFmtId="38" fontId="7" fillId="0" borderId="11" xfId="0" applyNumberFormat="1" applyFont="1" applyBorder="1" applyAlignment="1">
      <alignment horizontal="left" vertical="center" wrapText="1"/>
    </xf>
    <xf numFmtId="38" fontId="7" fillId="0" borderId="12" xfId="0" applyNumberFormat="1" applyFont="1" applyBorder="1" applyAlignment="1">
      <alignment horizontal="left" vertical="center" wrapText="1"/>
    </xf>
    <xf numFmtId="38" fontId="7" fillId="0" borderId="11" xfId="0" applyNumberFormat="1" applyFont="1" applyBorder="1" applyAlignment="1">
      <alignment horizontal="left" vertical="center"/>
    </xf>
    <xf numFmtId="38" fontId="7" fillId="0" borderId="12" xfId="0" applyNumberFormat="1" applyFont="1" applyBorder="1" applyAlignment="1">
      <alignment horizontal="left"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5" fillId="0" borderId="15" xfId="0" applyNumberFormat="1" applyFont="1" applyBorder="1" applyAlignment="1">
      <alignment horizontal="center" vertical="center"/>
    </xf>
    <xf numFmtId="0" fontId="5" fillId="0" borderId="14" xfId="0" applyNumberFormat="1" applyFont="1" applyBorder="1" applyAlignment="1">
      <alignment horizontal="center" vertical="center"/>
    </xf>
    <xf numFmtId="0" fontId="8" fillId="0" borderId="11" xfId="0" applyFont="1" applyBorder="1" applyAlignment="1">
      <alignment horizontal="left" vertical="center"/>
    </xf>
    <xf numFmtId="0" fontId="9" fillId="0" borderId="16" xfId="0" applyFont="1" applyBorder="1" applyAlignment="1">
      <alignment horizontal="left" vertical="center"/>
    </xf>
    <xf numFmtId="38" fontId="10" fillId="0" borderId="11" xfId="10" applyNumberFormat="1" applyBorder="1" applyAlignment="1">
      <alignment horizontal="left"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11" xfId="0" applyFont="1" applyBorder="1" applyAlignment="1">
      <alignment horizontal="center" vertical="center"/>
    </xf>
    <xf numFmtId="0" fontId="7" fillId="0" borderId="19" xfId="0" applyFont="1" applyBorder="1" applyAlignment="1">
      <alignment horizontal="left" vertical="center" wrapText="1"/>
    </xf>
    <xf numFmtId="0" fontId="7" fillId="0" borderId="20" xfId="0" applyFont="1" applyBorder="1" applyAlignment="1">
      <alignment horizontal="left" vertical="center" wrapText="1"/>
    </xf>
    <xf numFmtId="0" fontId="12" fillId="3" borderId="21" xfId="0" applyNumberFormat="1" applyFont="1" applyFill="1" applyBorder="1" applyAlignment="1">
      <alignment horizontal="center" vertical="center"/>
    </xf>
    <xf numFmtId="0" fontId="12" fillId="3" borderId="21" xfId="0" applyNumberFormat="1" applyFont="1" applyFill="1" applyBorder="1" applyAlignment="1">
      <alignment horizontal="center" vertical="center" wrapText="1"/>
    </xf>
    <xf numFmtId="0" fontId="12" fillId="3" borderId="22" xfId="0" applyFont="1" applyFill="1" applyBorder="1" applyAlignment="1">
      <alignment horizontal="center" vertical="center" wrapText="1"/>
    </xf>
    <xf numFmtId="0" fontId="12" fillId="3" borderId="21" xfId="0" applyFont="1" applyFill="1" applyBorder="1" applyAlignment="1">
      <alignment horizontal="center" vertical="center" wrapText="1"/>
    </xf>
    <xf numFmtId="178" fontId="12" fillId="3" borderId="22" xfId="2" applyFont="1" applyFill="1" applyBorder="1" applyAlignment="1">
      <alignment horizontal="center" vertical="center" wrapText="1"/>
    </xf>
    <xf numFmtId="176" fontId="12" fillId="3" borderId="22" xfId="0" applyNumberFormat="1" applyFont="1" applyFill="1" applyBorder="1" applyAlignment="1">
      <alignment horizontal="center" vertical="center" wrapText="1"/>
    </xf>
    <xf numFmtId="0" fontId="12" fillId="3" borderId="23" xfId="0" applyFont="1" applyFill="1" applyBorder="1" applyAlignment="1">
      <alignment horizontal="center" vertical="center" wrapText="1"/>
    </xf>
    <xf numFmtId="178" fontId="12" fillId="3" borderId="23" xfId="2" applyFont="1" applyFill="1" applyBorder="1" applyAlignment="1">
      <alignment horizontal="center" vertical="center" wrapText="1"/>
    </xf>
    <xf numFmtId="176" fontId="12" fillId="3" borderId="23" xfId="0" applyNumberFormat="1" applyFont="1" applyFill="1" applyBorder="1" applyAlignment="1">
      <alignment horizontal="center" vertical="center" wrapText="1"/>
    </xf>
    <xf numFmtId="0" fontId="12" fillId="4" borderId="21" xfId="0" applyNumberFormat="1" applyFont="1" applyFill="1" applyBorder="1" applyAlignment="1">
      <alignment horizontal="center" vertical="center"/>
    </xf>
    <xf numFmtId="0" fontId="12" fillId="4" borderId="21" xfId="0" applyNumberFormat="1"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2" fillId="4" borderId="21" xfId="0" applyFont="1" applyFill="1" applyBorder="1" applyAlignment="1">
      <alignment horizontal="center" vertical="center" wrapText="1"/>
    </xf>
    <xf numFmtId="178" fontId="12" fillId="4" borderId="23" xfId="2" applyFont="1" applyFill="1" applyBorder="1" applyAlignment="1">
      <alignment horizontal="center" vertical="center" wrapText="1"/>
    </xf>
    <xf numFmtId="176" fontId="12" fillId="4" borderId="23" xfId="0" applyNumberFormat="1" applyFont="1" applyFill="1" applyBorder="1" applyAlignment="1">
      <alignment horizontal="center" vertical="center" wrapText="1"/>
    </xf>
    <xf numFmtId="1" fontId="7" fillId="0" borderId="21" xfId="0" applyNumberFormat="1" applyFont="1" applyBorder="1" applyAlignment="1">
      <alignment horizontal="center" vertical="center"/>
    </xf>
    <xf numFmtId="0" fontId="14" fillId="0" borderId="21" xfId="0" applyFont="1" applyBorder="1" applyAlignment="1">
      <alignment horizontal="center" vertical="center"/>
    </xf>
    <xf numFmtId="0" fontId="15" fillId="0" borderId="21" xfId="0" applyFont="1" applyBorder="1" applyAlignment="1">
      <alignment horizontal="left" vertical="center" wrapText="1"/>
    </xf>
    <xf numFmtId="1" fontId="7" fillId="0" borderId="21" xfId="0" applyNumberFormat="1" applyFont="1" applyFill="1" applyBorder="1" applyAlignment="1">
      <alignment horizontal="center" vertical="center" wrapText="1"/>
    </xf>
    <xf numFmtId="178" fontId="7" fillId="0" borderId="21" xfId="2" applyFont="1" applyFill="1" applyBorder="1" applyAlignment="1">
      <alignment horizontal="center" vertical="center" wrapText="1"/>
    </xf>
    <xf numFmtId="178" fontId="16" fillId="0" borderId="21" xfId="2" applyFont="1" applyBorder="1" applyAlignment="1">
      <alignment horizontal="center" vertical="center"/>
    </xf>
    <xf numFmtId="38" fontId="7" fillId="0" borderId="21" xfId="0" applyNumberFormat="1" applyFont="1" applyBorder="1" applyAlignment="1">
      <alignment horizontal="center" vertical="center"/>
    </xf>
    <xf numFmtId="180" fontId="7" fillId="0" borderId="21" xfId="0" applyNumberFormat="1" applyFont="1" applyBorder="1" applyAlignment="1">
      <alignment horizontal="center" vertical="center"/>
    </xf>
    <xf numFmtId="0" fontId="7" fillId="5" borderId="21" xfId="0" applyNumberFormat="1" applyFont="1" applyFill="1" applyBorder="1" applyAlignment="1">
      <alignment horizontal="center" vertical="center"/>
    </xf>
    <xf numFmtId="0" fontId="5" fillId="5" borderId="24" xfId="0" applyFont="1" applyFill="1" applyBorder="1" applyAlignment="1">
      <alignment horizontal="center" vertical="center" wrapText="1"/>
    </xf>
    <xf numFmtId="0" fontId="17" fillId="0" borderId="25" xfId="0" applyFont="1" applyBorder="1" applyAlignment="1">
      <alignment horizontal="center" vertical="center" wrapText="1"/>
    </xf>
    <xf numFmtId="0" fontId="17" fillId="0" borderId="26" xfId="0" applyFont="1" applyBorder="1" applyAlignment="1">
      <alignment horizontal="center" vertical="center" wrapText="1"/>
    </xf>
    <xf numFmtId="178" fontId="18" fillId="5" borderId="21" xfId="2" applyFont="1" applyFill="1" applyBorder="1" applyAlignment="1">
      <alignment horizontal="center" vertical="center"/>
    </xf>
    <xf numFmtId="38" fontId="7" fillId="5" borderId="24" xfId="0" applyNumberFormat="1" applyFont="1" applyFill="1" applyBorder="1" applyAlignment="1">
      <alignment horizontal="center" vertical="center"/>
    </xf>
    <xf numFmtId="0" fontId="0" fillId="5" borderId="25" xfId="0" applyFill="1" applyBorder="1" applyAlignment="1">
      <alignment horizontal="center" vertical="center"/>
    </xf>
    <xf numFmtId="181" fontId="19" fillId="5" borderId="27" xfId="0" applyNumberFormat="1" applyFont="1" applyFill="1" applyBorder="1" applyAlignment="1">
      <alignment horizontal="center" vertical="center"/>
    </xf>
    <xf numFmtId="181" fontId="19" fillId="5" borderId="28" xfId="0" applyNumberFormat="1" applyFont="1" applyFill="1" applyBorder="1" applyAlignment="1">
      <alignment horizontal="center" vertical="center"/>
    </xf>
    <xf numFmtId="178" fontId="19" fillId="5" borderId="28" xfId="2" applyFont="1" applyFill="1" applyBorder="1" applyAlignment="1">
      <alignment horizontal="center" vertical="center"/>
    </xf>
    <xf numFmtId="181" fontId="20" fillId="5" borderId="27" xfId="0" applyNumberFormat="1" applyFont="1" applyFill="1" applyBorder="1" applyAlignment="1">
      <alignment horizontal="center" vertical="center"/>
    </xf>
    <xf numFmtId="181" fontId="20" fillId="5" borderId="28" xfId="0" applyNumberFormat="1" applyFont="1" applyFill="1" applyBorder="1" applyAlignment="1">
      <alignment horizontal="center" vertical="center"/>
    </xf>
    <xf numFmtId="181" fontId="21" fillId="5" borderId="28" xfId="0" applyNumberFormat="1" applyFont="1" applyFill="1" applyBorder="1" applyAlignment="1">
      <alignment horizontal="center" vertical="center"/>
    </xf>
    <xf numFmtId="0" fontId="8" fillId="0" borderId="23" xfId="0" applyNumberFormat="1" applyFont="1" applyBorder="1" applyAlignment="1">
      <alignment horizontal="left" vertical="center"/>
    </xf>
    <xf numFmtId="0" fontId="22" fillId="0" borderId="2" xfId="0" applyNumberFormat="1" applyFont="1" applyBorder="1" applyAlignment="1">
      <alignment horizontal="center" vertical="center"/>
    </xf>
    <xf numFmtId="0" fontId="22" fillId="0" borderId="3" xfId="0" applyNumberFormat="1" applyFont="1" applyBorder="1" applyAlignment="1">
      <alignment horizontal="center" vertical="center"/>
    </xf>
    <xf numFmtId="0" fontId="5" fillId="0" borderId="0" xfId="0" applyNumberFormat="1" applyFont="1" applyBorder="1" applyAlignment="1">
      <alignment horizontal="center" vertical="center"/>
    </xf>
    <xf numFmtId="0" fontId="7" fillId="0" borderId="29" xfId="0" applyFont="1" applyBorder="1" applyAlignment="1">
      <alignment horizontal="justify" vertical="center"/>
    </xf>
    <xf numFmtId="0" fontId="7" fillId="0" borderId="30" xfId="0" applyFont="1" applyBorder="1" applyAlignment="1">
      <alignment horizontal="justify" vertical="center"/>
    </xf>
    <xf numFmtId="0" fontId="7" fillId="0" borderId="6" xfId="0" applyFont="1" applyBorder="1" applyAlignment="1">
      <alignment horizontal="justify" vertical="center"/>
    </xf>
    <xf numFmtId="0" fontId="7" fillId="0" borderId="17" xfId="0" applyFont="1" applyBorder="1" applyAlignment="1">
      <alignment horizontal="justify" vertical="center"/>
    </xf>
    <xf numFmtId="0" fontId="7" fillId="0" borderId="18" xfId="0" applyFont="1" applyBorder="1" applyAlignment="1">
      <alignment horizontal="justify" vertical="center"/>
    </xf>
    <xf numFmtId="0" fontId="7" fillId="0" borderId="11" xfId="0" applyFont="1" applyBorder="1" applyAlignment="1">
      <alignment horizontal="justify" vertical="center"/>
    </xf>
    <xf numFmtId="0" fontId="7" fillId="0" borderId="18" xfId="0" applyFont="1" applyBorder="1" applyAlignment="1">
      <alignment horizontal="justify" vertical="center" wrapText="1"/>
    </xf>
    <xf numFmtId="0" fontId="7" fillId="0" borderId="11" xfId="0" applyFont="1" applyBorder="1" applyAlignment="1">
      <alignment horizontal="justify" vertical="center" wrapText="1"/>
    </xf>
    <xf numFmtId="0" fontId="7" fillId="0" borderId="17" xfId="0" applyFont="1" applyBorder="1" applyAlignment="1">
      <alignment horizontal="justify" vertical="center" wrapText="1"/>
    </xf>
    <xf numFmtId="0" fontId="5" fillId="0" borderId="17" xfId="0" applyNumberFormat="1" applyFont="1" applyBorder="1" applyAlignment="1">
      <alignment horizontal="center" vertical="center" wrapText="1"/>
    </xf>
    <xf numFmtId="0" fontId="5" fillId="0" borderId="18" xfId="0" applyNumberFormat="1" applyFont="1" applyBorder="1" applyAlignment="1">
      <alignment horizontal="center" vertical="center" wrapText="1"/>
    </xf>
    <xf numFmtId="0" fontId="5" fillId="0" borderId="11" xfId="0" applyNumberFormat="1" applyFont="1" applyBorder="1" applyAlignment="1">
      <alignment horizontal="center" vertical="center" wrapText="1"/>
    </xf>
    <xf numFmtId="178" fontId="7" fillId="0" borderId="17" xfId="0" applyNumberFormat="1" applyFont="1" applyFill="1" applyBorder="1" applyAlignment="1">
      <alignment horizontal="justify" vertical="center" wrapText="1"/>
    </xf>
    <xf numFmtId="178" fontId="7" fillId="0" borderId="18" xfId="0" applyNumberFormat="1" applyFont="1" applyFill="1" applyBorder="1" applyAlignment="1">
      <alignment horizontal="justify" vertical="center" wrapText="1"/>
    </xf>
    <xf numFmtId="178" fontId="7" fillId="0" borderId="31" xfId="0" applyNumberFormat="1" applyFont="1" applyFill="1" applyBorder="1" applyAlignment="1">
      <alignment horizontal="justify" vertical="center" wrapText="1"/>
    </xf>
    <xf numFmtId="178" fontId="7" fillId="0" borderId="16" xfId="0" applyNumberFormat="1" applyFont="1" applyFill="1" applyBorder="1" applyAlignment="1">
      <alignment horizontal="justify" vertical="center" wrapText="1"/>
    </xf>
    <xf numFmtId="178" fontId="7" fillId="0" borderId="32" xfId="0" applyNumberFormat="1" applyFont="1" applyFill="1" applyBorder="1" applyAlignment="1">
      <alignment horizontal="justify" vertical="center" wrapText="1"/>
    </xf>
    <xf numFmtId="178" fontId="7" fillId="0" borderId="33" xfId="0" applyNumberFormat="1" applyFont="1" applyFill="1" applyBorder="1" applyAlignment="1">
      <alignment horizontal="justify" vertical="center" wrapText="1"/>
    </xf>
    <xf numFmtId="0" fontId="7" fillId="0" borderId="33" xfId="0" applyFont="1" applyBorder="1" applyAlignment="1">
      <alignment horizontal="justify" vertical="center" wrapText="1"/>
    </xf>
    <xf numFmtId="0" fontId="7" fillId="0" borderId="34" xfId="0" applyFont="1" applyBorder="1" applyAlignment="1">
      <alignment horizontal="justify" vertical="center" wrapText="1"/>
    </xf>
    <xf numFmtId="178" fontId="3" fillId="2" borderId="0" xfId="2" applyFont="1" applyFill="1" applyBorder="1" applyAlignment="1">
      <alignment horizontal="center" vertical="center"/>
    </xf>
    <xf numFmtId="0" fontId="4" fillId="0" borderId="35" xfId="0" applyNumberFormat="1" applyFont="1" applyBorder="1" applyAlignment="1">
      <alignment horizontal="left" vertical="center"/>
    </xf>
    <xf numFmtId="38" fontId="7" fillId="0" borderId="36" xfId="0" applyNumberFormat="1" applyFont="1" applyBorder="1" applyAlignment="1">
      <alignment horizontal="left" vertical="center"/>
    </xf>
    <xf numFmtId="179" fontId="7" fillId="0" borderId="37" xfId="0" applyNumberFormat="1" applyFont="1" applyBorder="1" applyAlignment="1">
      <alignment horizontal="left" vertical="center"/>
    </xf>
    <xf numFmtId="38" fontId="7" fillId="0" borderId="37" xfId="0" applyNumberFormat="1" applyFont="1" applyBorder="1" applyAlignment="1">
      <alignment horizontal="left" vertical="center" wrapText="1"/>
    </xf>
    <xf numFmtId="38" fontId="7" fillId="0" borderId="37" xfId="0" applyNumberFormat="1" applyFont="1" applyBorder="1" applyAlignment="1">
      <alignment horizontal="left" vertical="center"/>
    </xf>
    <xf numFmtId="0" fontId="11" fillId="0" borderId="38" xfId="0" applyFont="1" applyBorder="1" applyAlignment="1">
      <alignment horizontal="center" vertical="center"/>
    </xf>
    <xf numFmtId="0" fontId="7" fillId="0" borderId="39" xfId="0" applyFont="1" applyBorder="1" applyAlignment="1">
      <alignment horizontal="left" vertical="center" wrapText="1"/>
    </xf>
    <xf numFmtId="178" fontId="12" fillId="3" borderId="21" xfId="2" applyFont="1" applyFill="1" applyBorder="1" applyAlignment="1">
      <alignment horizontal="center" vertical="center" wrapText="1"/>
    </xf>
    <xf numFmtId="178" fontId="12" fillId="4" borderId="21" xfId="2" applyFont="1" applyFill="1" applyBorder="1" applyAlignment="1">
      <alignment horizontal="center" vertical="center" wrapText="1"/>
    </xf>
    <xf numFmtId="182" fontId="7" fillId="0" borderId="21" xfId="0" applyNumberFormat="1" applyFont="1" applyBorder="1" applyAlignment="1">
      <alignment horizontal="center" vertical="center"/>
    </xf>
    <xf numFmtId="178" fontId="5" fillId="0" borderId="21" xfId="2" applyFont="1" applyBorder="1" applyAlignment="1">
      <alignment horizontal="center" vertical="center"/>
    </xf>
    <xf numFmtId="0" fontId="0" fillId="5" borderId="26" xfId="0" applyFill="1" applyBorder="1" applyAlignment="1">
      <alignment horizontal="center" vertical="center"/>
    </xf>
    <xf numFmtId="178" fontId="8" fillId="5" borderId="21" xfId="2" applyFont="1" applyFill="1" applyBorder="1" applyAlignment="1">
      <alignment horizontal="center" vertical="center"/>
    </xf>
    <xf numFmtId="178" fontId="19" fillId="5" borderId="21" xfId="2" applyFont="1" applyFill="1" applyBorder="1" applyAlignment="1">
      <alignment horizontal="center" vertical="center"/>
    </xf>
    <xf numFmtId="178" fontId="23" fillId="5" borderId="21" xfId="2" applyFont="1" applyFill="1" applyBorder="1" applyAlignment="1">
      <alignment horizontal="center" vertical="center"/>
    </xf>
    <xf numFmtId="0" fontId="22" fillId="0" borderId="35" xfId="0" applyNumberFormat="1" applyFont="1" applyBorder="1" applyAlignment="1">
      <alignment horizontal="center" vertical="center"/>
    </xf>
    <xf numFmtId="0" fontId="2" fillId="0" borderId="40" xfId="0" applyNumberFormat="1" applyFont="1" applyBorder="1" applyAlignment="1">
      <alignment horizontal="center" vertical="center" wrapText="1"/>
    </xf>
    <xf numFmtId="0" fontId="5" fillId="0" borderId="41" xfId="0" applyNumberFormat="1" applyFont="1" applyBorder="1" applyAlignment="1">
      <alignment horizontal="center" vertical="center"/>
    </xf>
    <xf numFmtId="0" fontId="7" fillId="0" borderId="42" xfId="0" applyFont="1" applyBorder="1" applyAlignment="1">
      <alignment horizontal="justify" vertical="center"/>
    </xf>
    <xf numFmtId="0" fontId="7" fillId="0" borderId="38" xfId="0" applyFont="1" applyBorder="1" applyAlignment="1">
      <alignment horizontal="justify" vertical="center"/>
    </xf>
    <xf numFmtId="0" fontId="7" fillId="0" borderId="38" xfId="0" applyFont="1" applyBorder="1" applyAlignment="1">
      <alignment horizontal="justify" vertical="center" wrapText="1"/>
    </xf>
    <xf numFmtId="0" fontId="5" fillId="0" borderId="38" xfId="0" applyNumberFormat="1" applyFont="1" applyBorder="1" applyAlignment="1">
      <alignment horizontal="center" vertical="center" wrapText="1"/>
    </xf>
    <xf numFmtId="0" fontId="7" fillId="0" borderId="43" xfId="0" applyFont="1" applyBorder="1" applyAlignment="1">
      <alignment horizontal="justify" vertical="center" wrapText="1"/>
    </xf>
    <xf numFmtId="0" fontId="24" fillId="0" borderId="0" xfId="14"/>
    <xf numFmtId="41" fontId="0" fillId="0" borderId="0" xfId="3" applyFont="1"/>
    <xf numFmtId="0" fontId="0" fillId="0" borderId="0" xfId="11"/>
    <xf numFmtId="9" fontId="0" fillId="0" borderId="0" xfId="6" applyFont="1"/>
    <xf numFmtId="9" fontId="0" fillId="0" borderId="0" xfId="49" applyFont="1"/>
    <xf numFmtId="0" fontId="25" fillId="0" borderId="0" xfId="52"/>
    <xf numFmtId="38" fontId="7" fillId="0" borderId="11" xfId="0" applyNumberFormat="1" applyFont="1" applyBorder="1" applyAlignment="1" quotePrefix="1">
      <alignment horizontal="left" vertical="center"/>
    </xf>
  </cellXfs>
  <cellStyles count="56">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0,0_x000a__x000a_NA_x000a__x000a_" xfId="14"/>
    <cellStyle name="40% - Accent3" xfId="15" builtinId="39"/>
    <cellStyle name="Warning Text" xfId="16" builtinId="11"/>
    <cellStyle name="40% - Accent2" xfId="17" builtinId="35"/>
    <cellStyle name="Title" xfId="18" builtinId="15"/>
    <cellStyle name="CExplanatory Text" xfId="19" builtinId="53"/>
    <cellStyle name="Heading 1" xfId="20" builtinId="16"/>
    <cellStyle name="Heading 3" xfId="21" builtinId="18"/>
    <cellStyle name="Heading 4" xfId="22" builtinId="19"/>
    <cellStyle name="Input" xfId="23" builtinId="20"/>
    <cellStyle name="60% - Accent3" xfId="24" builtinId="40"/>
    <cellStyle name="Good" xfId="25" builtinId="26"/>
    <cellStyle name="Output" xfId="26" builtinId="21"/>
    <cellStyle name="20% - Accent1" xfId="27" builtinId="30"/>
    <cellStyle name="Calculation" xfId="28" builtinId="22"/>
    <cellStyle name="Linked Cell" xfId="29" builtinId="24"/>
    <cellStyle name="Total" xfId="30" builtinId="25"/>
    <cellStyle name="Bad" xfId="31" builtinId="27"/>
    <cellStyle name="Neutral" xfId="32" builtinId="28"/>
    <cellStyle name="Accent1" xfId="33" builtinId="29"/>
    <cellStyle name="Normal 2" xfId="34"/>
    <cellStyle name="20% - Accent5" xfId="35" builtinId="46"/>
    <cellStyle name="60% - Accent1" xfId="36" builtinId="32"/>
    <cellStyle name="Accent2" xfId="37" builtinId="33"/>
    <cellStyle name="20% - Accent2" xfId="38" builtinId="34"/>
    <cellStyle name="20% - Accent6" xfId="39" builtinId="50"/>
    <cellStyle name="60% - Accent2" xfId="40" builtinId="36"/>
    <cellStyle name="Accent3" xfId="41" builtinId="37"/>
    <cellStyle name="20% - Accent3" xfId="42" builtinId="38"/>
    <cellStyle name="Accent4" xfId="43" builtinId="41"/>
    <cellStyle name="20% - Accent4" xfId="44" builtinId="42"/>
    <cellStyle name="40% - Accent4" xfId="45" builtinId="43"/>
    <cellStyle name="Accent5" xfId="46" builtinId="45"/>
    <cellStyle name="40% - Accent5" xfId="47" builtinId="47"/>
    <cellStyle name="60% - Accent5" xfId="48" builtinId="48"/>
    <cellStyle name="Percent 3" xfId="49"/>
    <cellStyle name="Accent6" xfId="50" builtinId="49"/>
    <cellStyle name="40% - Accent6" xfId="51" builtinId="51"/>
    <cellStyle name="スタイル 1" xfId="52"/>
    <cellStyle name="60% - Accent6" xfId="53" builtinId="52"/>
    <cellStyle name="0,0_x000d__x000a_NA_x000d__x000a_" xfId="54"/>
    <cellStyle name="Comma [0] 2" xfId="55"/>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10</xdr:col>
      <xdr:colOff>0</xdr:colOff>
      <xdr:row>0</xdr:row>
      <xdr:rowOff>245918</xdr:rowOff>
    </xdr:from>
    <xdr:ext cx="27765" cy="263662"/>
    <xdr:sp>
      <xdr:nvSpPr>
        <xdr:cNvPr id="2" name="Text Box 8"/>
        <xdr:cNvSpPr txBox="1">
          <a:spLocks noChangeArrowheads="1"/>
        </xdr:cNvSpPr>
      </xdr:nvSpPr>
      <xdr:spPr>
        <a:xfrm>
          <a:off x="10134600" y="245745"/>
          <a:ext cx="27305" cy="263525"/>
        </a:xfrm>
        <a:prstGeom prst="rect">
          <a:avLst/>
        </a:prstGeom>
        <a:noFill/>
        <a:ln w="9525">
          <a:noFill/>
          <a:miter lim="800000"/>
        </a:ln>
      </xdr:spPr>
      <xdr:txBody>
        <a:bodyPr wrap="none" lIns="27432" tIns="27432" rIns="0" bIns="0" anchor="t" upright="1">
          <a:spAutoFit/>
        </a:bodyPr>
        <a:lstStyle/>
        <a:p>
          <a:pPr algn="l" rtl="0">
            <a:defRPr sz="1000"/>
          </a:pPr>
          <a:endParaRPr lang="en-US" altLang="ja-JP" sz="1600" b="1" i="0" u="sng" strike="noStrike">
            <a:solidFill>
              <a:srgbClr val="FFFF00"/>
            </a:solidFill>
            <a:latin typeface="Arial" panose="020B0604020202020204"/>
            <a:cs typeface="Arial" panose="020B0604020202020204"/>
          </a:endParaRPr>
        </a:p>
      </xdr:txBody>
    </xdr:sp>
    <xdr:clientData/>
  </xdr:oneCellAnchor>
  <xdr:twoCellAnchor editAs="oneCell">
    <xdr:from>
      <xdr:col>6</xdr:col>
      <xdr:colOff>0</xdr:colOff>
      <xdr:row>27</xdr:row>
      <xdr:rowOff>0</xdr:rowOff>
    </xdr:from>
    <xdr:to>
      <xdr:col>6</xdr:col>
      <xdr:colOff>358900</xdr:colOff>
      <xdr:row>27</xdr:row>
      <xdr:rowOff>28575</xdr:rowOff>
    </xdr:to>
    <xdr:sp>
      <xdr:nvSpPr>
        <xdr:cNvPr id="3" name="Text Box 8"/>
        <xdr:cNvSpPr txBox="1">
          <a:spLocks noChangeArrowheads="1"/>
        </xdr:cNvSpPr>
      </xdr:nvSpPr>
      <xdr:spPr>
        <a:xfrm>
          <a:off x="7419975" y="6684645"/>
          <a:ext cx="358775" cy="28575"/>
        </a:xfrm>
        <a:prstGeom prst="rect">
          <a:avLst/>
        </a:prstGeom>
        <a:noFill/>
        <a:ln w="9525">
          <a:noFill/>
          <a:miter lim="800000"/>
        </a:ln>
      </xdr:spPr>
    </xdr:sp>
    <xdr:clientData/>
  </xdr:twoCellAnchor>
  <xdr:twoCellAnchor editAs="oneCell">
    <xdr:from>
      <xdr:col>5</xdr:col>
      <xdr:colOff>0</xdr:colOff>
      <xdr:row>27</xdr:row>
      <xdr:rowOff>0</xdr:rowOff>
    </xdr:from>
    <xdr:to>
      <xdr:col>5</xdr:col>
      <xdr:colOff>393010</xdr:colOff>
      <xdr:row>27</xdr:row>
      <xdr:rowOff>28575</xdr:rowOff>
    </xdr:to>
    <xdr:sp>
      <xdr:nvSpPr>
        <xdr:cNvPr id="4" name="Text Box 8"/>
        <xdr:cNvSpPr txBox="1">
          <a:spLocks noChangeArrowheads="1"/>
        </xdr:cNvSpPr>
      </xdr:nvSpPr>
      <xdr:spPr>
        <a:xfrm>
          <a:off x="6534150" y="6684645"/>
          <a:ext cx="392430" cy="28575"/>
        </a:xfrm>
        <a:prstGeom prst="rect">
          <a:avLst/>
        </a:prstGeom>
        <a:noFill/>
        <a:ln w="9525">
          <a:noFill/>
          <a:miter lim="800000"/>
        </a:ln>
      </xdr:spPr>
    </xdr:sp>
    <xdr:clientData/>
  </xdr:twoCellAnchor>
  <xdr:twoCellAnchor editAs="oneCell">
    <xdr:from>
      <xdr:col>5</xdr:col>
      <xdr:colOff>0</xdr:colOff>
      <xdr:row>27</xdr:row>
      <xdr:rowOff>0</xdr:rowOff>
    </xdr:from>
    <xdr:to>
      <xdr:col>5</xdr:col>
      <xdr:colOff>393010</xdr:colOff>
      <xdr:row>27</xdr:row>
      <xdr:rowOff>28575</xdr:rowOff>
    </xdr:to>
    <xdr:sp>
      <xdr:nvSpPr>
        <xdr:cNvPr id="5" name="Text Box 8"/>
        <xdr:cNvSpPr txBox="1">
          <a:spLocks noChangeArrowheads="1"/>
        </xdr:cNvSpPr>
      </xdr:nvSpPr>
      <xdr:spPr>
        <a:xfrm>
          <a:off x="6534150" y="6684645"/>
          <a:ext cx="392430" cy="28575"/>
        </a:xfrm>
        <a:prstGeom prst="rect">
          <a:avLst/>
        </a:prstGeom>
        <a:noFill/>
        <a:ln w="9525">
          <a:noFill/>
          <a:miter lim="800000"/>
        </a:ln>
      </xdr:spPr>
    </xdr:sp>
    <xdr:clientData/>
  </xdr:twoCellAnchor>
  <xdr:twoCellAnchor editAs="oneCell">
    <xdr:from>
      <xdr:col>5</xdr:col>
      <xdr:colOff>0</xdr:colOff>
      <xdr:row>27</xdr:row>
      <xdr:rowOff>0</xdr:rowOff>
    </xdr:from>
    <xdr:to>
      <xdr:col>5</xdr:col>
      <xdr:colOff>393010</xdr:colOff>
      <xdr:row>27</xdr:row>
      <xdr:rowOff>28575</xdr:rowOff>
    </xdr:to>
    <xdr:sp>
      <xdr:nvSpPr>
        <xdr:cNvPr id="6" name="Text Box 8"/>
        <xdr:cNvSpPr txBox="1">
          <a:spLocks noChangeArrowheads="1"/>
        </xdr:cNvSpPr>
      </xdr:nvSpPr>
      <xdr:spPr>
        <a:xfrm>
          <a:off x="6534150" y="6684645"/>
          <a:ext cx="392430" cy="28575"/>
        </a:xfrm>
        <a:prstGeom prst="rect">
          <a:avLst/>
        </a:prstGeom>
        <a:noFill/>
        <a:ln w="9525">
          <a:noFill/>
          <a:miter lim="800000"/>
        </a:ln>
      </xdr:spPr>
    </xdr:sp>
    <xdr:clientData/>
  </xdr:twoCellAnchor>
  <xdr:twoCellAnchor editAs="oneCell">
    <xdr:from>
      <xdr:col>5</xdr:col>
      <xdr:colOff>0</xdr:colOff>
      <xdr:row>27</xdr:row>
      <xdr:rowOff>0</xdr:rowOff>
    </xdr:from>
    <xdr:to>
      <xdr:col>5</xdr:col>
      <xdr:colOff>393010</xdr:colOff>
      <xdr:row>27</xdr:row>
      <xdr:rowOff>28575</xdr:rowOff>
    </xdr:to>
    <xdr:sp>
      <xdr:nvSpPr>
        <xdr:cNvPr id="7" name="Text Box 8"/>
        <xdr:cNvSpPr txBox="1">
          <a:spLocks noChangeArrowheads="1"/>
        </xdr:cNvSpPr>
      </xdr:nvSpPr>
      <xdr:spPr>
        <a:xfrm>
          <a:off x="6534150" y="6684645"/>
          <a:ext cx="392430" cy="28575"/>
        </a:xfrm>
        <a:prstGeom prst="rect">
          <a:avLst/>
        </a:prstGeom>
        <a:noFill/>
        <a:ln w="9525">
          <a:noFill/>
          <a:miter lim="800000"/>
        </a:ln>
      </xdr:spPr>
    </xdr:sp>
    <xdr:clientData/>
  </xdr:twoCellAnchor>
  <xdr:twoCellAnchor editAs="oneCell">
    <xdr:from>
      <xdr:col>5</xdr:col>
      <xdr:colOff>0</xdr:colOff>
      <xdr:row>27</xdr:row>
      <xdr:rowOff>0</xdr:rowOff>
    </xdr:from>
    <xdr:to>
      <xdr:col>5</xdr:col>
      <xdr:colOff>393010</xdr:colOff>
      <xdr:row>27</xdr:row>
      <xdr:rowOff>28575</xdr:rowOff>
    </xdr:to>
    <xdr:sp>
      <xdr:nvSpPr>
        <xdr:cNvPr id="8" name="Text Box 8"/>
        <xdr:cNvSpPr txBox="1">
          <a:spLocks noChangeArrowheads="1"/>
        </xdr:cNvSpPr>
      </xdr:nvSpPr>
      <xdr:spPr>
        <a:xfrm>
          <a:off x="6534150" y="6684645"/>
          <a:ext cx="392430" cy="28575"/>
        </a:xfrm>
        <a:prstGeom prst="rect">
          <a:avLst/>
        </a:prstGeom>
        <a:noFill/>
        <a:ln w="9525">
          <a:noFill/>
          <a:miter lim="800000"/>
        </a:ln>
      </xdr:spPr>
    </xdr:sp>
    <xdr:clientData/>
  </xdr:twoCellAnchor>
  <xdr:twoCellAnchor editAs="oneCell">
    <xdr:from>
      <xdr:col>5</xdr:col>
      <xdr:colOff>0</xdr:colOff>
      <xdr:row>27</xdr:row>
      <xdr:rowOff>0</xdr:rowOff>
    </xdr:from>
    <xdr:to>
      <xdr:col>5</xdr:col>
      <xdr:colOff>393010</xdr:colOff>
      <xdr:row>27</xdr:row>
      <xdr:rowOff>28575</xdr:rowOff>
    </xdr:to>
    <xdr:sp>
      <xdr:nvSpPr>
        <xdr:cNvPr id="9" name="Text Box 8"/>
        <xdr:cNvSpPr txBox="1">
          <a:spLocks noChangeArrowheads="1"/>
        </xdr:cNvSpPr>
      </xdr:nvSpPr>
      <xdr:spPr>
        <a:xfrm>
          <a:off x="6534150" y="6684645"/>
          <a:ext cx="392430" cy="28575"/>
        </a:xfrm>
        <a:prstGeom prst="rect">
          <a:avLst/>
        </a:prstGeom>
        <a:noFill/>
        <a:ln w="9525">
          <a:noFill/>
          <a:miter lim="800000"/>
        </a:ln>
      </xdr:spPr>
    </xdr:sp>
    <xdr:clientData/>
  </xdr:twoCellAnchor>
  <xdr:twoCellAnchor editAs="oneCell">
    <xdr:from>
      <xdr:col>2</xdr:col>
      <xdr:colOff>1404939</xdr:colOff>
      <xdr:row>0</xdr:row>
      <xdr:rowOff>142875</xdr:rowOff>
    </xdr:from>
    <xdr:to>
      <xdr:col>5</xdr:col>
      <xdr:colOff>754545</xdr:colOff>
      <xdr:row>0</xdr:row>
      <xdr:rowOff>857249</xdr:rowOff>
    </xdr:to>
    <xdr:sp>
      <xdr:nvSpPr>
        <xdr:cNvPr id="10" name="Text Box 7"/>
        <xdr:cNvSpPr txBox="1">
          <a:spLocks noChangeArrowheads="1"/>
        </xdr:cNvSpPr>
      </xdr:nvSpPr>
      <xdr:spPr>
        <a:xfrm>
          <a:off x="3195320" y="142875"/>
          <a:ext cx="4093210" cy="713740"/>
        </a:xfrm>
        <a:prstGeom prst="rect">
          <a:avLst/>
        </a:prstGeom>
        <a:noFill/>
        <a:ln w="9525">
          <a:noFill/>
          <a:miter lim="800000"/>
        </a:ln>
      </xdr:spPr>
      <xdr:txBody>
        <a:bodyPr vertOverflow="clip" wrap="square" lIns="18288" tIns="27432" rIns="0" bIns="0" anchor="t" upright="1"/>
        <a:lstStyle/>
        <a:p>
          <a:pPr algn="l" rtl="0">
            <a:defRPr sz="1000"/>
          </a:pPr>
          <a:r>
            <a:rPr lang="en-US" sz="900" b="1" i="0" u="none" strike="noStrike" baseline="0">
              <a:solidFill>
                <a:srgbClr val="000000"/>
              </a:solidFill>
              <a:latin typeface="Trebuchet MS" panose="020B0603020202020204" pitchFamily="34" charset="0"/>
              <a:cs typeface="Arial" panose="020B0604020202020204" pitchFamily="7" charset="0"/>
            </a:rPr>
            <a:t>Connectivity IT Solutions Pvt. Ltd.</a:t>
          </a:r>
          <a:endParaRPr lang="en-US" sz="900" b="1" i="0" u="none" strike="noStrike" baseline="0">
            <a:solidFill>
              <a:srgbClr val="000000"/>
            </a:solidFill>
            <a:latin typeface="Trebuchet MS" panose="020B0603020202020204" pitchFamily="34" charset="0"/>
            <a:cs typeface="Arial" panose="020B0604020202020204" pitchFamily="7" charset="0"/>
          </a:endParaRPr>
        </a:p>
        <a:p>
          <a:r>
            <a:rPr lang="en-US" sz="900">
              <a:effectLst/>
              <a:latin typeface="Trebuchet MS" panose="020B0603020202020204" pitchFamily="34" charset="0"/>
              <a:ea typeface="+mn-ea"/>
              <a:cs typeface="Arial" panose="020B0604020202020204" pitchFamily="7" charset="0"/>
            </a:rPr>
            <a:t># 1877, 1</a:t>
          </a:r>
          <a:r>
            <a:rPr lang="en-US" sz="900" baseline="30000">
              <a:effectLst/>
              <a:latin typeface="Trebuchet MS" panose="020B0603020202020204" pitchFamily="34" charset="0"/>
              <a:ea typeface="+mn-ea"/>
              <a:cs typeface="Arial" panose="020B0604020202020204" pitchFamily="7" charset="0"/>
            </a:rPr>
            <a:t>st</a:t>
          </a:r>
          <a:r>
            <a:rPr lang="en-US" sz="900">
              <a:effectLst/>
              <a:latin typeface="Trebuchet MS" panose="020B0603020202020204" pitchFamily="34" charset="0"/>
              <a:ea typeface="+mn-ea"/>
              <a:cs typeface="Arial" panose="020B0604020202020204" pitchFamily="7" charset="0"/>
            </a:rPr>
            <a:t> Floor, “Gangothri”, 31</a:t>
          </a:r>
          <a:r>
            <a:rPr lang="en-US" sz="900" baseline="30000">
              <a:effectLst/>
              <a:latin typeface="Trebuchet MS" panose="020B0603020202020204" pitchFamily="34" charset="0"/>
              <a:ea typeface="+mn-ea"/>
              <a:cs typeface="Arial" panose="020B0604020202020204" pitchFamily="7" charset="0"/>
            </a:rPr>
            <a:t>st</a:t>
          </a:r>
          <a:r>
            <a:rPr lang="en-US" sz="900">
              <a:effectLst/>
              <a:latin typeface="Trebuchet MS" panose="020B0603020202020204" pitchFamily="34" charset="0"/>
              <a:ea typeface="+mn-ea"/>
              <a:cs typeface="Arial" panose="020B0604020202020204" pitchFamily="7" charset="0"/>
            </a:rPr>
            <a:t> Cross, 10</a:t>
          </a:r>
          <a:r>
            <a:rPr lang="en-US" sz="900" baseline="30000">
              <a:effectLst/>
              <a:latin typeface="Trebuchet MS" panose="020B0603020202020204" pitchFamily="34" charset="0"/>
              <a:ea typeface="+mn-ea"/>
              <a:cs typeface="Arial" panose="020B0604020202020204" pitchFamily="7" charset="0"/>
            </a:rPr>
            <a:t>th</a:t>
          </a:r>
          <a:r>
            <a:rPr lang="en-US" sz="900">
              <a:effectLst/>
              <a:latin typeface="Trebuchet MS" panose="020B0603020202020204" pitchFamily="34" charset="0"/>
              <a:ea typeface="+mn-ea"/>
              <a:cs typeface="Arial" panose="020B0604020202020204" pitchFamily="7" charset="0"/>
            </a:rPr>
            <a:t> Main, Banashankari 2</a:t>
          </a:r>
          <a:r>
            <a:rPr lang="en-US" sz="900" baseline="30000">
              <a:effectLst/>
              <a:latin typeface="Trebuchet MS" panose="020B0603020202020204" pitchFamily="34" charset="0"/>
              <a:ea typeface="+mn-ea"/>
              <a:cs typeface="Arial" panose="020B0604020202020204" pitchFamily="7" charset="0"/>
            </a:rPr>
            <a:t>nd</a:t>
          </a:r>
          <a:r>
            <a:rPr lang="en-US" sz="900">
              <a:effectLst/>
              <a:latin typeface="Trebuchet MS" panose="020B0603020202020204" pitchFamily="34" charset="0"/>
              <a:ea typeface="+mn-ea"/>
              <a:cs typeface="Arial" panose="020B0604020202020204" pitchFamily="7" charset="0"/>
            </a:rPr>
            <a:t> Stage, </a:t>
          </a:r>
          <a:endParaRPr lang="en-US" sz="900">
            <a:effectLst/>
            <a:latin typeface="Trebuchet MS" panose="020B0603020202020204" pitchFamily="34" charset="0"/>
            <a:ea typeface="+mn-ea"/>
            <a:cs typeface="Arial" panose="020B0604020202020204" pitchFamily="7" charset="0"/>
          </a:endParaRPr>
        </a:p>
        <a:p>
          <a:r>
            <a:rPr lang="en-US" sz="900">
              <a:effectLst/>
              <a:latin typeface="Trebuchet MS" panose="020B0603020202020204" pitchFamily="34" charset="0"/>
              <a:ea typeface="+mn-ea"/>
              <a:cs typeface="Arial" panose="020B0604020202020204" pitchFamily="7" charset="0"/>
            </a:rPr>
            <a:t>Bangalore - 560070. INDIA</a:t>
          </a:r>
          <a:endParaRPr lang="en-IN" sz="900">
            <a:effectLst/>
            <a:latin typeface="Trebuchet MS" panose="020B0603020202020204" pitchFamily="34" charset="0"/>
            <a:ea typeface="+mn-ea"/>
            <a:cs typeface="Arial" panose="020B0604020202020204" pitchFamily="7" charset="0"/>
          </a:endParaRPr>
        </a:p>
        <a:p>
          <a:r>
            <a:rPr lang="en-US" sz="900">
              <a:effectLst/>
              <a:latin typeface="Trebuchet MS" panose="020B0603020202020204" pitchFamily="34" charset="0"/>
              <a:ea typeface="+mn-ea"/>
              <a:cs typeface="Arial" panose="020B0604020202020204" pitchFamily="7" charset="0"/>
            </a:rPr>
            <a:t>Phone: +91-80-26713547 &amp; +91-80-26716555, Tele/Fax: +91-80-26713636</a:t>
          </a:r>
          <a:endParaRPr lang="en-IN" sz="900">
            <a:effectLst/>
            <a:latin typeface="Trebuchet MS" panose="020B0603020202020204" pitchFamily="34" charset="0"/>
            <a:ea typeface="+mn-ea"/>
            <a:cs typeface="Arial" panose="020B0604020202020204" pitchFamily="7" charset="0"/>
          </a:endParaRPr>
        </a:p>
      </xdr:txBody>
    </xdr:sp>
    <xdr:clientData/>
  </xdr:twoCellAnchor>
  <xdr:twoCellAnchor editAs="oneCell">
    <xdr:from>
      <xdr:col>0</xdr:col>
      <xdr:colOff>115957</xdr:colOff>
      <xdr:row>0</xdr:row>
      <xdr:rowOff>74543</xdr:rowOff>
    </xdr:from>
    <xdr:to>
      <xdr:col>2</xdr:col>
      <xdr:colOff>106017</xdr:colOff>
      <xdr:row>0</xdr:row>
      <xdr:rowOff>745977</xdr:rowOff>
    </xdr:to>
    <xdr:pic>
      <xdr:nvPicPr>
        <xdr:cNvPr id="11" name="Picture 10"/>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115570" y="74295"/>
          <a:ext cx="1780540" cy="6711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3" Type="http://schemas.openxmlformats.org/officeDocument/2006/relationships/hyperlink" Target="mailto:shivakumar@connectivitysolutions.in" TargetMode="External"/><Relationship Id="rId2" Type="http://schemas.openxmlformats.org/officeDocument/2006/relationships/hyperlink" Target="http://www.connectivitysolutions.in/"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V4"/>
  <sheetViews>
    <sheetView workbookViewId="0">
      <selection activeCell="A1" sqref="A1"/>
    </sheetView>
  </sheetViews>
  <sheetFormatPr defaultColWidth="9" defaultRowHeight="12" outlineLevelRow="3"/>
  <sheetData>
    <row r="1" spans="1:256">
      <c r="A1" t="e">
        <f>IF(#REF!,"AAAAAH7/7QA=",0)</f>
        <v>#REF!</v>
      </c>
      <c r="B1" t="e">
        <f>AND(#REF!,"AAAAAH7/7QE=")</f>
        <v>#REF!</v>
      </c>
      <c r="C1" t="e">
        <f>AND(#REF!,"AAAAAH7/7QI=")</f>
        <v>#REF!</v>
      </c>
      <c r="D1" t="e">
        <f>AND(#REF!,"AAAAAH7/7QM=")</f>
        <v>#REF!</v>
      </c>
      <c r="E1" t="e">
        <f>AND(#REF!,"AAAAAH7/7QQ=")</f>
        <v>#REF!</v>
      </c>
      <c r="F1" t="e">
        <f>AND(#REF!,"AAAAAH7/7QU=")</f>
        <v>#REF!</v>
      </c>
      <c r="G1" t="e">
        <f>AND(#REF!,"AAAAAH7/7QY=")</f>
        <v>#REF!</v>
      </c>
      <c r="H1" t="e">
        <f>AND(#REF!,"AAAAAH7/7Qc=")</f>
        <v>#REF!</v>
      </c>
      <c r="I1" t="e">
        <f>AND(#REF!,"AAAAAH7/7Qg=")</f>
        <v>#REF!</v>
      </c>
      <c r="J1" t="e">
        <f>AND(#REF!,"AAAAAH7/7Qk=")</f>
        <v>#REF!</v>
      </c>
      <c r="K1" t="e">
        <f>AND(#REF!,"AAAAAH7/7Qo=")</f>
        <v>#REF!</v>
      </c>
      <c r="L1" t="e">
        <f>AND(#REF!,"AAAAAH7/7Qs=")</f>
        <v>#REF!</v>
      </c>
      <c r="M1" t="e">
        <f>AND(#REF!,"AAAAAH7/7Qw=")</f>
        <v>#REF!</v>
      </c>
      <c r="N1" t="e">
        <f>AND(#REF!,"AAAAAH7/7Q0=")</f>
        <v>#REF!</v>
      </c>
      <c r="O1" t="e">
        <f>AND(#REF!,"AAAAAH7/7Q4=")</f>
        <v>#REF!</v>
      </c>
      <c r="P1" t="e">
        <f>AND(#REF!,"AAAAAH7/7Q8=")</f>
        <v>#REF!</v>
      </c>
      <c r="Q1" t="e">
        <f>AND(#REF!,"AAAAAH7/7RA=")</f>
        <v>#REF!</v>
      </c>
      <c r="R1" t="e">
        <f>AND(#REF!,"AAAAAH7/7RE=")</f>
        <v>#REF!</v>
      </c>
      <c r="S1" t="e">
        <f>AND(#REF!,"AAAAAH7/7RI=")</f>
        <v>#REF!</v>
      </c>
      <c r="T1" t="e">
        <f>IF(#REF!,"AAAAAH7/7RM=",0)</f>
        <v>#REF!</v>
      </c>
      <c r="U1" t="e">
        <f>AND(#REF!,"AAAAAH7/7RQ=")</f>
        <v>#REF!</v>
      </c>
      <c r="V1" t="e">
        <f>AND(#REF!,"AAAAAH7/7RU=")</f>
        <v>#REF!</v>
      </c>
      <c r="W1" t="e">
        <f>AND(#REF!,"AAAAAH7/7RY=")</f>
        <v>#REF!</v>
      </c>
      <c r="X1" t="e">
        <f>AND(#REF!,"AAAAAH7/7Rc=")</f>
        <v>#REF!</v>
      </c>
      <c r="Y1" t="e">
        <f>AND(#REF!,"AAAAAH7/7Rg=")</f>
        <v>#REF!</v>
      </c>
      <c r="Z1" t="e">
        <f>AND(#REF!,"AAAAAH7/7Rk=")</f>
        <v>#REF!</v>
      </c>
      <c r="AA1" t="e">
        <f>AND(#REF!,"AAAAAH7/7Ro=")</f>
        <v>#REF!</v>
      </c>
      <c r="AB1" t="e">
        <f>AND(#REF!,"AAAAAH7/7Rs=")</f>
        <v>#REF!</v>
      </c>
      <c r="AC1" t="e">
        <f>AND(#REF!,"AAAAAH7/7Rw=")</f>
        <v>#REF!</v>
      </c>
      <c r="AD1" t="e">
        <f>AND(#REF!,"AAAAAH7/7R0=")</f>
        <v>#REF!</v>
      </c>
      <c r="AE1" t="e">
        <f>AND(#REF!,"AAAAAH7/7R4=")</f>
        <v>#REF!</v>
      </c>
      <c r="AF1" t="e">
        <f>AND(#REF!,"AAAAAH7/7R8=")</f>
        <v>#REF!</v>
      </c>
      <c r="AG1" t="e">
        <f>AND(#REF!,"AAAAAH7/7SA=")</f>
        <v>#REF!</v>
      </c>
      <c r="AH1" t="e">
        <f>AND(#REF!,"AAAAAH7/7SE=")</f>
        <v>#REF!</v>
      </c>
      <c r="AI1" t="e">
        <f>AND(#REF!,"AAAAAH7/7SI=")</f>
        <v>#REF!</v>
      </c>
      <c r="AJ1" t="e">
        <f>AND(#REF!,"AAAAAH7/7SM=")</f>
        <v>#REF!</v>
      </c>
      <c r="AK1" t="e">
        <f>AND(#REF!,"AAAAAH7/7SQ=")</f>
        <v>#REF!</v>
      </c>
      <c r="AL1" t="e">
        <f>AND(#REF!,"AAAAAH7/7SU=")</f>
        <v>#REF!</v>
      </c>
      <c r="AM1" t="e">
        <f>IF(#REF!,"AAAAAH7/7SY=",0)</f>
        <v>#REF!</v>
      </c>
      <c r="AN1" t="e">
        <f>AND(#REF!,"AAAAAH7/7Sc=")</f>
        <v>#REF!</v>
      </c>
      <c r="AO1" t="e">
        <f>AND(#REF!,"AAAAAH7/7Sg=")</f>
        <v>#REF!</v>
      </c>
      <c r="AP1" t="e">
        <f>AND(#REF!,"AAAAAH7/7Sk=")</f>
        <v>#REF!</v>
      </c>
      <c r="AQ1" t="e">
        <f>AND(#REF!,"AAAAAH7/7So=")</f>
        <v>#REF!</v>
      </c>
      <c r="AR1" t="e">
        <f>AND(#REF!,"AAAAAH7/7Ss=")</f>
        <v>#REF!</v>
      </c>
      <c r="AS1" t="e">
        <f>AND(#REF!,"AAAAAH7/7Sw=")</f>
        <v>#REF!</v>
      </c>
      <c r="AT1" t="e">
        <f>AND(#REF!,"AAAAAH7/7S0=")</f>
        <v>#REF!</v>
      </c>
      <c r="AU1" t="e">
        <f>AND(#REF!,"AAAAAH7/7S4=")</f>
        <v>#REF!</v>
      </c>
      <c r="AV1" t="e">
        <f>AND(#REF!,"AAAAAH7/7S8=")</f>
        <v>#REF!</v>
      </c>
      <c r="AW1" t="e">
        <f>AND(#REF!,"AAAAAH7/7TA=")</f>
        <v>#REF!</v>
      </c>
      <c r="AX1" t="e">
        <f>AND(#REF!,"AAAAAH7/7TE=")</f>
        <v>#REF!</v>
      </c>
      <c r="AY1" t="e">
        <f>AND(#REF!,"AAAAAH7/7TI=")</f>
        <v>#REF!</v>
      </c>
      <c r="AZ1" t="e">
        <f>AND(#REF!,"AAAAAH7/7TM=")</f>
        <v>#REF!</v>
      </c>
      <c r="BA1" t="e">
        <f>AND(#REF!,"AAAAAH7/7TQ=")</f>
        <v>#REF!</v>
      </c>
      <c r="BB1" t="e">
        <f>AND(#REF!,"AAAAAH7/7TU=")</f>
        <v>#REF!</v>
      </c>
      <c r="BC1" t="e">
        <f>AND(#REF!,"AAAAAH7/7TY=")</f>
        <v>#REF!</v>
      </c>
      <c r="BD1" t="e">
        <f>AND(#REF!,"AAAAAH7/7Tc=")</f>
        <v>#REF!</v>
      </c>
      <c r="BE1" t="e">
        <f>AND(#REF!,"AAAAAH7/7Tg=")</f>
        <v>#REF!</v>
      </c>
      <c r="BF1" t="e">
        <f>IF(#REF!,"AAAAAH7/7Tk=",0)</f>
        <v>#REF!</v>
      </c>
      <c r="BG1" t="e">
        <f>AND(#REF!,"AAAAAH7/7To=")</f>
        <v>#REF!</v>
      </c>
      <c r="BH1" t="e">
        <f>AND(#REF!,"AAAAAH7/7Ts=")</f>
        <v>#REF!</v>
      </c>
      <c r="BI1" t="e">
        <f>AND(#REF!,"AAAAAH7/7Tw=")</f>
        <v>#REF!</v>
      </c>
      <c r="BJ1" t="e">
        <f>AND(#REF!,"AAAAAH7/7T0=")</f>
        <v>#REF!</v>
      </c>
      <c r="BK1" t="e">
        <f>AND(#REF!,"AAAAAH7/7T4=")</f>
        <v>#REF!</v>
      </c>
      <c r="BL1" t="e">
        <f>AND(#REF!,"AAAAAH7/7T8=")</f>
        <v>#REF!</v>
      </c>
      <c r="BM1" t="e">
        <f>AND(#REF!,"AAAAAH7/7UA=")</f>
        <v>#REF!</v>
      </c>
      <c r="BN1" t="e">
        <f>AND(#REF!,"AAAAAH7/7UE=")</f>
        <v>#REF!</v>
      </c>
      <c r="BO1" t="e">
        <f>AND(#REF!,"AAAAAH7/7UI=")</f>
        <v>#REF!</v>
      </c>
      <c r="BP1" t="e">
        <f>AND(#REF!,"AAAAAH7/7UM=")</f>
        <v>#REF!</v>
      </c>
      <c r="BQ1" t="e">
        <f>AND(#REF!,"AAAAAH7/7UQ=")</f>
        <v>#REF!</v>
      </c>
      <c r="BR1" t="e">
        <f>AND(#REF!,"AAAAAH7/7UU=")</f>
        <v>#REF!</v>
      </c>
      <c r="BS1" t="e">
        <f>AND(#REF!,"AAAAAH7/7UY=")</f>
        <v>#REF!</v>
      </c>
      <c r="BT1" t="e">
        <f>AND(#REF!,"AAAAAH7/7Uc=")</f>
        <v>#REF!</v>
      </c>
      <c r="BU1" t="e">
        <f>AND(#REF!,"AAAAAH7/7Ug=")</f>
        <v>#REF!</v>
      </c>
      <c r="BV1" t="e">
        <f>AND(#REF!,"AAAAAH7/7Uk=")</f>
        <v>#REF!</v>
      </c>
      <c r="BW1" t="e">
        <f>AND(#REF!,"AAAAAH7/7Uo=")</f>
        <v>#REF!</v>
      </c>
      <c r="BX1" t="e">
        <f>AND(#REF!,"AAAAAH7/7Us=")</f>
        <v>#REF!</v>
      </c>
      <c r="BY1" t="e">
        <f>IF(#REF!,"AAAAAH7/7Uw=",0)</f>
        <v>#REF!</v>
      </c>
      <c r="BZ1" t="e">
        <f>AND(#REF!,"AAAAAH7/7U0=")</f>
        <v>#REF!</v>
      </c>
      <c r="CA1" t="e">
        <f>AND(#REF!,"AAAAAH7/7U4=")</f>
        <v>#REF!</v>
      </c>
      <c r="CB1" t="e">
        <f>AND(#REF!,"AAAAAH7/7U8=")</f>
        <v>#REF!</v>
      </c>
      <c r="CC1" t="e">
        <f>AND(#REF!,"AAAAAH7/7VA=")</f>
        <v>#REF!</v>
      </c>
      <c r="CD1" t="e">
        <f>AND(#REF!,"AAAAAH7/7VE=")</f>
        <v>#REF!</v>
      </c>
      <c r="CE1" t="e">
        <f>AND(#REF!,"AAAAAH7/7VI=")</f>
        <v>#REF!</v>
      </c>
      <c r="CF1" t="e">
        <f>AND(#REF!,"AAAAAH7/7VM=")</f>
        <v>#REF!</v>
      </c>
      <c r="CG1" t="e">
        <f>AND(#REF!,"AAAAAH7/7VQ=")</f>
        <v>#REF!</v>
      </c>
      <c r="CH1" t="e">
        <f>AND(#REF!,"AAAAAH7/7VU=")</f>
        <v>#REF!</v>
      </c>
      <c r="CI1" t="e">
        <f>AND(#REF!,"AAAAAH7/7VY=")</f>
        <v>#REF!</v>
      </c>
      <c r="CJ1" t="e">
        <f>AND(#REF!,"AAAAAH7/7Vc=")</f>
        <v>#REF!</v>
      </c>
      <c r="CK1" t="e">
        <f>AND(#REF!,"AAAAAH7/7Vg=")</f>
        <v>#REF!</v>
      </c>
      <c r="CL1" t="e">
        <f>AND(#REF!,"AAAAAH7/7Vk=")</f>
        <v>#REF!</v>
      </c>
      <c r="CM1" t="e">
        <f>AND(#REF!,"AAAAAH7/7Vo=")</f>
        <v>#REF!</v>
      </c>
      <c r="CN1" t="e">
        <f>AND(#REF!,"AAAAAH7/7Vs=")</f>
        <v>#REF!</v>
      </c>
      <c r="CO1" t="e">
        <f>AND(#REF!,"AAAAAH7/7Vw=")</f>
        <v>#REF!</v>
      </c>
      <c r="CP1" t="e">
        <f>AND(#REF!,"AAAAAH7/7V0=")</f>
        <v>#REF!</v>
      </c>
      <c r="CQ1" t="e">
        <f>AND(#REF!,"AAAAAH7/7V4=")</f>
        <v>#REF!</v>
      </c>
      <c r="CR1" t="e">
        <f>IF(#REF!,"AAAAAH7/7V8=",0)</f>
        <v>#REF!</v>
      </c>
      <c r="CS1" t="e">
        <f>AND(#REF!,"AAAAAH7/7WA=")</f>
        <v>#REF!</v>
      </c>
      <c r="CT1" t="e">
        <f>AND(#REF!,"AAAAAH7/7WE=")</f>
        <v>#REF!</v>
      </c>
      <c r="CU1" t="e">
        <f>AND(#REF!,"AAAAAH7/7WI=")</f>
        <v>#REF!</v>
      </c>
      <c r="CV1" t="e">
        <f>AND(#REF!,"AAAAAH7/7WM=")</f>
        <v>#REF!</v>
      </c>
      <c r="CW1" t="e">
        <f>AND(#REF!,"AAAAAH7/7WQ=")</f>
        <v>#REF!</v>
      </c>
      <c r="CX1" t="e">
        <f>AND(#REF!,"AAAAAH7/7WU=")</f>
        <v>#REF!</v>
      </c>
      <c r="CY1" t="e">
        <f>AND(#REF!,"AAAAAH7/7WY=")</f>
        <v>#REF!</v>
      </c>
      <c r="CZ1" t="e">
        <f>AND(#REF!,"AAAAAH7/7Wc=")</f>
        <v>#REF!</v>
      </c>
      <c r="DA1" t="e">
        <f>AND(#REF!,"AAAAAH7/7Wg=")</f>
        <v>#REF!</v>
      </c>
      <c r="DB1" t="e">
        <f>AND(#REF!,"AAAAAH7/7Wk=")</f>
        <v>#REF!</v>
      </c>
      <c r="DC1" t="e">
        <f>AND(#REF!,"AAAAAH7/7Wo=")</f>
        <v>#REF!</v>
      </c>
      <c r="DD1" t="e">
        <f>AND(#REF!,"AAAAAH7/7Ws=")</f>
        <v>#REF!</v>
      </c>
      <c r="DE1" t="e">
        <f>AND(#REF!,"AAAAAH7/7Ww=")</f>
        <v>#REF!</v>
      </c>
      <c r="DF1" t="e">
        <f>AND(#REF!,"AAAAAH7/7W0=")</f>
        <v>#REF!</v>
      </c>
      <c r="DG1" t="e">
        <f>AND(#REF!,"AAAAAH7/7W4=")</f>
        <v>#REF!</v>
      </c>
      <c r="DH1" t="e">
        <f>AND(#REF!,"AAAAAH7/7W8=")</f>
        <v>#REF!</v>
      </c>
      <c r="DI1" t="e">
        <f>AND(#REF!,"AAAAAH7/7XA=")</f>
        <v>#REF!</v>
      </c>
      <c r="DJ1" t="e">
        <f>AND(#REF!,"AAAAAH7/7XE=")</f>
        <v>#REF!</v>
      </c>
      <c r="DK1" t="e">
        <f>IF(#REF!,"AAAAAH7/7XI=",0)</f>
        <v>#REF!</v>
      </c>
      <c r="DL1" t="e">
        <f>AND(#REF!,"AAAAAH7/7XM=")</f>
        <v>#REF!</v>
      </c>
      <c r="DM1" t="e">
        <f>AND(#REF!,"AAAAAH7/7XQ=")</f>
        <v>#REF!</v>
      </c>
      <c r="DN1" t="e">
        <f>AND(#REF!,"AAAAAH7/7XU=")</f>
        <v>#REF!</v>
      </c>
      <c r="DO1" t="e">
        <f>AND(#REF!,"AAAAAH7/7XY=")</f>
        <v>#REF!</v>
      </c>
      <c r="DP1" t="e">
        <f>AND(#REF!,"AAAAAH7/7Xc=")</f>
        <v>#REF!</v>
      </c>
      <c r="DQ1" t="e">
        <f>AND(#REF!,"AAAAAH7/7Xg=")</f>
        <v>#REF!</v>
      </c>
      <c r="DR1" t="e">
        <f>AND(#REF!,"AAAAAH7/7Xk=")</f>
        <v>#REF!</v>
      </c>
      <c r="DS1" t="e">
        <f>AND(#REF!,"AAAAAH7/7Xo=")</f>
        <v>#REF!</v>
      </c>
      <c r="DT1" t="e">
        <f>AND(#REF!,"AAAAAH7/7Xs=")</f>
        <v>#REF!</v>
      </c>
      <c r="DU1" t="e">
        <f>AND(#REF!,"AAAAAH7/7Xw=")</f>
        <v>#REF!</v>
      </c>
      <c r="DV1" t="e">
        <f>AND(#REF!,"AAAAAH7/7X0=")</f>
        <v>#REF!</v>
      </c>
      <c r="DW1" t="e">
        <f>AND(#REF!,"AAAAAH7/7X4=")</f>
        <v>#REF!</v>
      </c>
      <c r="DX1" t="e">
        <f>AND(#REF!,"AAAAAH7/7X8=")</f>
        <v>#REF!</v>
      </c>
      <c r="DY1" t="e">
        <f>AND(#REF!,"AAAAAH7/7YA=")</f>
        <v>#REF!</v>
      </c>
      <c r="DZ1" t="e">
        <f>AND(#REF!,"AAAAAH7/7YE=")</f>
        <v>#REF!</v>
      </c>
      <c r="EA1" t="e">
        <f>AND(#REF!,"AAAAAH7/7YI=")</f>
        <v>#REF!</v>
      </c>
      <c r="EB1" t="e">
        <f>AND(#REF!,"AAAAAH7/7YM=")</f>
        <v>#REF!</v>
      </c>
      <c r="EC1" t="e">
        <f>AND(#REF!,"AAAAAH7/7YQ=")</f>
        <v>#REF!</v>
      </c>
      <c r="ED1" t="e">
        <f>IF(#REF!,"AAAAAH7/7YU=",0)</f>
        <v>#REF!</v>
      </c>
      <c r="EE1" t="e">
        <f>AND(#REF!,"AAAAAH7/7YY=")</f>
        <v>#REF!</v>
      </c>
      <c r="EF1" t="e">
        <f>AND(#REF!,"AAAAAH7/7Yc=")</f>
        <v>#REF!</v>
      </c>
      <c r="EG1" t="e">
        <f>AND(#REF!,"AAAAAH7/7Yg=")</f>
        <v>#REF!</v>
      </c>
      <c r="EH1" t="e">
        <f>AND(#REF!,"AAAAAH7/7Yk=")</f>
        <v>#REF!</v>
      </c>
      <c r="EI1" t="e">
        <f>AND(#REF!,"AAAAAH7/7Yo=")</f>
        <v>#REF!</v>
      </c>
      <c r="EJ1" t="e">
        <f>AND(#REF!,"AAAAAH7/7Ys=")</f>
        <v>#REF!</v>
      </c>
      <c r="EK1" t="e">
        <f>AND(#REF!,"AAAAAH7/7Yw=")</f>
        <v>#REF!</v>
      </c>
      <c r="EL1" t="e">
        <f>AND(#REF!,"AAAAAH7/7Y0=")</f>
        <v>#REF!</v>
      </c>
      <c r="EM1" t="e">
        <f>AND(#REF!,"AAAAAH7/7Y4=")</f>
        <v>#REF!</v>
      </c>
      <c r="EN1" t="e">
        <f>AND(#REF!,"AAAAAH7/7Y8=")</f>
        <v>#REF!</v>
      </c>
      <c r="EO1" t="e">
        <f>AND(#REF!,"AAAAAH7/7ZA=")</f>
        <v>#REF!</v>
      </c>
      <c r="EP1" t="e">
        <f>AND(#REF!,"AAAAAH7/7ZE=")</f>
        <v>#REF!</v>
      </c>
      <c r="EQ1" t="e">
        <f>AND(#REF!,"AAAAAH7/7ZI=")</f>
        <v>#REF!</v>
      </c>
      <c r="ER1" t="e">
        <f>AND(#REF!,"AAAAAH7/7ZM=")</f>
        <v>#REF!</v>
      </c>
      <c r="ES1" t="e">
        <f>AND(#REF!,"AAAAAH7/7ZQ=")</f>
        <v>#REF!</v>
      </c>
      <c r="ET1" t="e">
        <f>AND(#REF!,"AAAAAH7/7ZU=")</f>
        <v>#REF!</v>
      </c>
      <c r="EU1" t="e">
        <f>AND(#REF!,"AAAAAH7/7ZY=")</f>
        <v>#REF!</v>
      </c>
      <c r="EV1" t="e">
        <f>AND(#REF!,"AAAAAH7/7Zc=")</f>
        <v>#REF!</v>
      </c>
      <c r="EW1" t="e">
        <f>IF(#REF!,"AAAAAH7/7Zg=",0)</f>
        <v>#REF!</v>
      </c>
      <c r="EX1" t="e">
        <f>AND(#REF!,"AAAAAH7/7Zk=")</f>
        <v>#REF!</v>
      </c>
      <c r="EY1" t="e">
        <f>AND(#REF!,"AAAAAH7/7Zo=")</f>
        <v>#REF!</v>
      </c>
      <c r="EZ1" t="e">
        <f>AND(#REF!,"AAAAAH7/7Zs=")</f>
        <v>#REF!</v>
      </c>
      <c r="FA1" t="e">
        <f>AND(#REF!,"AAAAAH7/7Zw=")</f>
        <v>#REF!</v>
      </c>
      <c r="FB1" t="e">
        <f>AND(#REF!,"AAAAAH7/7Z0=")</f>
        <v>#REF!</v>
      </c>
      <c r="FC1" t="e">
        <f>AND(#REF!,"AAAAAH7/7Z4=")</f>
        <v>#REF!</v>
      </c>
      <c r="FD1" t="e">
        <f>AND(#REF!,"AAAAAH7/7Z8=")</f>
        <v>#REF!</v>
      </c>
      <c r="FE1" t="e">
        <f>AND(#REF!,"AAAAAH7/7aA=")</f>
        <v>#REF!</v>
      </c>
      <c r="FF1" t="e">
        <f>AND(#REF!,"AAAAAH7/7aE=")</f>
        <v>#REF!</v>
      </c>
      <c r="FG1" t="e">
        <f>AND(#REF!,"AAAAAH7/7aI=")</f>
        <v>#REF!</v>
      </c>
      <c r="FH1" t="e">
        <f>AND(#REF!,"AAAAAH7/7aM=")</f>
        <v>#REF!</v>
      </c>
      <c r="FI1" t="e">
        <f>AND(#REF!,"AAAAAH7/7aQ=")</f>
        <v>#REF!</v>
      </c>
      <c r="FJ1" t="e">
        <f>AND(#REF!,"AAAAAH7/7aU=")</f>
        <v>#REF!</v>
      </c>
      <c r="FK1" t="e">
        <f>AND(#REF!,"AAAAAH7/7aY=")</f>
        <v>#REF!</v>
      </c>
      <c r="FL1" t="e">
        <f>AND(#REF!,"AAAAAH7/7ac=")</f>
        <v>#REF!</v>
      </c>
      <c r="FM1" t="e">
        <f>AND(#REF!,"AAAAAH7/7ag=")</f>
        <v>#REF!</v>
      </c>
      <c r="FN1" t="e">
        <f>AND(#REF!,"AAAAAH7/7ak=")</f>
        <v>#REF!</v>
      </c>
      <c r="FO1" t="e">
        <f>AND(#REF!,"AAAAAH7/7ao=")</f>
        <v>#REF!</v>
      </c>
      <c r="FP1" t="e">
        <f>IF(#REF!,"AAAAAH7/7as=",0)</f>
        <v>#REF!</v>
      </c>
      <c r="FQ1" t="e">
        <f>AND(#REF!,"AAAAAH7/7aw=")</f>
        <v>#REF!</v>
      </c>
      <c r="FR1" t="e">
        <f>AND(#REF!,"AAAAAH7/7a0=")</f>
        <v>#REF!</v>
      </c>
      <c r="FS1" t="e">
        <f>AND(#REF!,"AAAAAH7/7a4=")</f>
        <v>#REF!</v>
      </c>
      <c r="FT1" t="e">
        <f>AND(#REF!,"AAAAAH7/7a8=")</f>
        <v>#REF!</v>
      </c>
      <c r="FU1" t="e">
        <f>AND(#REF!,"AAAAAH7/7bA=")</f>
        <v>#REF!</v>
      </c>
      <c r="FV1" t="e">
        <f>AND(#REF!,"AAAAAH7/7bE=")</f>
        <v>#REF!</v>
      </c>
      <c r="FW1" t="e">
        <f>AND(#REF!,"AAAAAH7/7bI=")</f>
        <v>#REF!</v>
      </c>
      <c r="FX1" t="e">
        <f>AND(#REF!,"AAAAAH7/7bM=")</f>
        <v>#REF!</v>
      </c>
      <c r="FY1" t="e">
        <f>AND(#REF!,"AAAAAH7/7bQ=")</f>
        <v>#REF!</v>
      </c>
      <c r="FZ1" t="e">
        <f>AND(#REF!,"AAAAAH7/7bU=")</f>
        <v>#REF!</v>
      </c>
      <c r="GA1" t="e">
        <f>AND(#REF!,"AAAAAH7/7bY=")</f>
        <v>#REF!</v>
      </c>
      <c r="GB1" t="e">
        <f>AND(#REF!,"AAAAAH7/7bc=")</f>
        <v>#REF!</v>
      </c>
      <c r="GC1" t="e">
        <f>AND(#REF!,"AAAAAH7/7bg=")</f>
        <v>#REF!</v>
      </c>
      <c r="GD1" t="e">
        <f>AND(#REF!,"AAAAAH7/7bk=")</f>
        <v>#REF!</v>
      </c>
      <c r="GE1" t="e">
        <f>AND(#REF!,"AAAAAH7/7bo=")</f>
        <v>#REF!</v>
      </c>
      <c r="GF1" t="e">
        <f>AND(#REF!,"AAAAAH7/7bs=")</f>
        <v>#REF!</v>
      </c>
      <c r="GG1" t="e">
        <f>AND(#REF!,"AAAAAH7/7bw=")</f>
        <v>#REF!</v>
      </c>
      <c r="GH1" t="e">
        <f>AND(#REF!,"AAAAAH7/7b0=")</f>
        <v>#REF!</v>
      </c>
      <c r="GI1" t="e">
        <f>IF(#REF!,"AAAAAH7/7b4=",0)</f>
        <v>#REF!</v>
      </c>
      <c r="GJ1" t="e">
        <f>AND(#REF!,"AAAAAH7/7b8=")</f>
        <v>#REF!</v>
      </c>
      <c r="GK1" t="e">
        <f>AND(#REF!,"AAAAAH7/7cA=")</f>
        <v>#REF!</v>
      </c>
      <c r="GL1" t="e">
        <f>AND(#REF!,"AAAAAH7/7cE=")</f>
        <v>#REF!</v>
      </c>
      <c r="GM1" t="e">
        <f>AND(#REF!,"AAAAAH7/7cI=")</f>
        <v>#REF!</v>
      </c>
      <c r="GN1" t="e">
        <f>AND(#REF!,"AAAAAH7/7cM=")</f>
        <v>#REF!</v>
      </c>
      <c r="GO1" t="e">
        <f>AND(#REF!,"AAAAAH7/7cQ=")</f>
        <v>#REF!</v>
      </c>
      <c r="GP1" t="e">
        <f>AND(#REF!,"AAAAAH7/7cU=")</f>
        <v>#REF!</v>
      </c>
      <c r="GQ1" t="e">
        <f>AND(#REF!,"AAAAAH7/7cY=")</f>
        <v>#REF!</v>
      </c>
      <c r="GR1" t="e">
        <f>AND(#REF!,"AAAAAH7/7cc=")</f>
        <v>#REF!</v>
      </c>
      <c r="GS1" t="e">
        <f>AND(#REF!,"AAAAAH7/7cg=")</f>
        <v>#REF!</v>
      </c>
      <c r="GT1" t="e">
        <f>AND(#REF!,"AAAAAH7/7ck=")</f>
        <v>#REF!</v>
      </c>
      <c r="GU1" t="e">
        <f>AND(#REF!,"AAAAAH7/7co=")</f>
        <v>#REF!</v>
      </c>
      <c r="GV1" t="e">
        <f>AND(#REF!,"AAAAAH7/7cs=")</f>
        <v>#REF!</v>
      </c>
      <c r="GW1" t="e">
        <f>AND(#REF!,"AAAAAH7/7cw=")</f>
        <v>#REF!</v>
      </c>
      <c r="GX1" t="e">
        <f>AND(#REF!,"AAAAAH7/7c0=")</f>
        <v>#REF!</v>
      </c>
      <c r="GY1" t="e">
        <f>AND(#REF!,"AAAAAH7/7c4=")</f>
        <v>#REF!</v>
      </c>
      <c r="GZ1" t="e">
        <f>AND(#REF!,"AAAAAH7/7c8=")</f>
        <v>#REF!</v>
      </c>
      <c r="HA1" t="e">
        <f>AND(#REF!,"AAAAAH7/7dA=")</f>
        <v>#REF!</v>
      </c>
      <c r="HB1" t="e">
        <f>IF(#REF!,"AAAAAH7/7dE=",0)</f>
        <v>#REF!</v>
      </c>
      <c r="HC1" t="e">
        <f>AND(#REF!,"AAAAAH7/7dI=")</f>
        <v>#REF!</v>
      </c>
      <c r="HD1" t="e">
        <f>AND(#REF!,"AAAAAH7/7dM=")</f>
        <v>#REF!</v>
      </c>
      <c r="HE1" t="e">
        <f>AND(#REF!,"AAAAAH7/7dQ=")</f>
        <v>#REF!</v>
      </c>
      <c r="HF1" t="e">
        <f>AND(#REF!,"AAAAAH7/7dU=")</f>
        <v>#REF!</v>
      </c>
      <c r="HG1" t="e">
        <f>AND(#REF!,"AAAAAH7/7dY=")</f>
        <v>#REF!</v>
      </c>
      <c r="HH1" t="e">
        <f>AND(#REF!,"AAAAAH7/7dc=")</f>
        <v>#REF!</v>
      </c>
      <c r="HI1" t="e">
        <f>AND(#REF!,"AAAAAH7/7dg=")</f>
        <v>#REF!</v>
      </c>
      <c r="HJ1" t="e">
        <f>AND(#REF!,"AAAAAH7/7dk=")</f>
        <v>#REF!</v>
      </c>
      <c r="HK1" t="e">
        <f>AND(#REF!,"AAAAAH7/7do=")</f>
        <v>#REF!</v>
      </c>
      <c r="HL1" t="e">
        <f>AND(#REF!,"AAAAAH7/7ds=")</f>
        <v>#REF!</v>
      </c>
      <c r="HM1" t="e">
        <f>AND(#REF!,"AAAAAH7/7dw=")</f>
        <v>#REF!</v>
      </c>
      <c r="HN1" t="e">
        <f>AND(#REF!,"AAAAAH7/7d0=")</f>
        <v>#REF!</v>
      </c>
      <c r="HO1" t="e">
        <f>AND(#REF!,"AAAAAH7/7d4=")</f>
        <v>#REF!</v>
      </c>
      <c r="HP1" t="e">
        <f>AND(#REF!,"AAAAAH7/7d8=")</f>
        <v>#REF!</v>
      </c>
      <c r="HQ1" t="e">
        <f>AND(#REF!,"AAAAAH7/7eA=")</f>
        <v>#REF!</v>
      </c>
      <c r="HR1" t="e">
        <f>AND(#REF!,"AAAAAH7/7eE=")</f>
        <v>#REF!</v>
      </c>
      <c r="HS1" t="e">
        <f>AND(#REF!,"AAAAAH7/7eI=")</f>
        <v>#REF!</v>
      </c>
      <c r="HT1" t="e">
        <f>AND(#REF!,"AAAAAH7/7eM=")</f>
        <v>#REF!</v>
      </c>
      <c r="HU1" t="e">
        <f>IF(#REF!,"AAAAAH7/7eQ=",0)</f>
        <v>#REF!</v>
      </c>
      <c r="HV1" t="e">
        <f>AND(#REF!,"AAAAAH7/7eU=")</f>
        <v>#REF!</v>
      </c>
      <c r="HW1" t="e">
        <f>AND(#REF!,"AAAAAH7/7eY=")</f>
        <v>#REF!</v>
      </c>
      <c r="HX1" t="e">
        <f>AND(#REF!,"AAAAAH7/7ec=")</f>
        <v>#REF!</v>
      </c>
      <c r="HY1" t="e">
        <f>AND(#REF!,"AAAAAH7/7eg=")</f>
        <v>#REF!</v>
      </c>
      <c r="HZ1" t="e">
        <f>AND(#REF!,"AAAAAH7/7ek=")</f>
        <v>#REF!</v>
      </c>
      <c r="IA1" t="e">
        <f>AND(#REF!,"AAAAAH7/7eo=")</f>
        <v>#REF!</v>
      </c>
      <c r="IB1" t="e">
        <f>AND(#REF!,"AAAAAH7/7es=")</f>
        <v>#REF!</v>
      </c>
      <c r="IC1" t="e">
        <f>AND(#REF!,"AAAAAH7/7ew=")</f>
        <v>#REF!</v>
      </c>
      <c r="ID1" t="e">
        <f>AND(#REF!,"AAAAAH7/7e0=")</f>
        <v>#REF!</v>
      </c>
      <c r="IE1" t="e">
        <f>AND(#REF!,"AAAAAH7/7e4=")</f>
        <v>#REF!</v>
      </c>
      <c r="IF1" t="e">
        <f>AND(#REF!,"AAAAAH7/7e8=")</f>
        <v>#REF!</v>
      </c>
      <c r="IG1" t="e">
        <f>AND(#REF!,"AAAAAH7/7fA=")</f>
        <v>#REF!</v>
      </c>
      <c r="IH1" t="e">
        <f>AND(#REF!,"AAAAAH7/7fE=")</f>
        <v>#REF!</v>
      </c>
      <c r="II1" t="e">
        <f>AND(#REF!,"AAAAAH7/7fI=")</f>
        <v>#REF!</v>
      </c>
      <c r="IJ1" t="e">
        <f>AND(#REF!,"AAAAAH7/7fM=")</f>
        <v>#REF!</v>
      </c>
      <c r="IK1" t="e">
        <f>AND(#REF!,"AAAAAH7/7fQ=")</f>
        <v>#REF!</v>
      </c>
      <c r="IL1" t="e">
        <f>AND(#REF!,"AAAAAH7/7fU=")</f>
        <v>#REF!</v>
      </c>
      <c r="IM1" t="e">
        <f>AND(#REF!,"AAAAAH7/7fY=")</f>
        <v>#REF!</v>
      </c>
      <c r="IN1" t="e">
        <f>IF(#REF!,"AAAAAH7/7fc=",0)</f>
        <v>#REF!</v>
      </c>
      <c r="IO1" t="e">
        <f>AND(#REF!,"AAAAAH7/7fg=")</f>
        <v>#REF!</v>
      </c>
      <c r="IP1" t="e">
        <f>AND(#REF!,"AAAAAH7/7fk=")</f>
        <v>#REF!</v>
      </c>
      <c r="IQ1" t="e">
        <f>AND(#REF!,"AAAAAH7/7fo=")</f>
        <v>#REF!</v>
      </c>
      <c r="IR1" t="e">
        <f>AND(#REF!,"AAAAAH7/7fs=")</f>
        <v>#REF!</v>
      </c>
      <c r="IS1" t="e">
        <f>AND(#REF!,"AAAAAH7/7fw=")</f>
        <v>#REF!</v>
      </c>
      <c r="IT1" t="e">
        <f>AND(#REF!,"AAAAAH7/7f0=")</f>
        <v>#REF!</v>
      </c>
      <c r="IU1" t="e">
        <f>AND(#REF!,"AAAAAH7/7f4=")</f>
        <v>#REF!</v>
      </c>
      <c r="IV1" t="e">
        <f>AND(#REF!,"AAAAAH7/7f8=")</f>
        <v>#REF!</v>
      </c>
    </row>
    <row r="2" spans="1:256">
      <c r="A2" t="e">
        <f>AND(#REF!,"AAAAAF3X9wA=")</f>
        <v>#REF!</v>
      </c>
      <c r="B2" t="e">
        <f>AND(#REF!,"AAAAAF3X9wE=")</f>
        <v>#REF!</v>
      </c>
      <c r="C2" t="e">
        <f>AND(#REF!,"AAAAAF3X9wI=")</f>
        <v>#REF!</v>
      </c>
      <c r="D2" t="e">
        <f>AND(#REF!,"AAAAAF3X9wM=")</f>
        <v>#REF!</v>
      </c>
      <c r="E2" t="e">
        <f>AND(#REF!,"AAAAAF3X9wQ=")</f>
        <v>#REF!</v>
      </c>
      <c r="F2" t="e">
        <f>AND(#REF!,"AAAAAF3X9wU=")</f>
        <v>#REF!</v>
      </c>
      <c r="G2" t="e">
        <f>AND(#REF!,"AAAAAF3X9wY=")</f>
        <v>#REF!</v>
      </c>
      <c r="H2" t="e">
        <f>AND(#REF!,"AAAAAF3X9wc=")</f>
        <v>#REF!</v>
      </c>
      <c r="I2" t="e">
        <f>AND(#REF!,"AAAAAF3X9wg=")</f>
        <v>#REF!</v>
      </c>
      <c r="J2" t="e">
        <f>AND(#REF!,"AAAAAF3X9wk=")</f>
        <v>#REF!</v>
      </c>
      <c r="K2" t="e">
        <f>IF(#REF!,"AAAAAF3X9wo=",0)</f>
        <v>#REF!</v>
      </c>
      <c r="L2" t="e">
        <f>AND(#REF!,"AAAAAF3X9ws=")</f>
        <v>#REF!</v>
      </c>
      <c r="M2" t="e">
        <f>AND(#REF!,"AAAAAF3X9ww=")</f>
        <v>#REF!</v>
      </c>
      <c r="N2" t="e">
        <f>AND(#REF!,"AAAAAF3X9w0=")</f>
        <v>#REF!</v>
      </c>
      <c r="O2" t="e">
        <f>AND(#REF!,"AAAAAF3X9w4=")</f>
        <v>#REF!</v>
      </c>
      <c r="P2" t="e">
        <f>AND(#REF!,"AAAAAF3X9w8=")</f>
        <v>#REF!</v>
      </c>
      <c r="Q2" t="e">
        <f>AND(#REF!,"AAAAAF3X9xA=")</f>
        <v>#REF!</v>
      </c>
      <c r="R2" t="e">
        <f>AND(#REF!,"AAAAAF3X9xE=")</f>
        <v>#REF!</v>
      </c>
      <c r="S2" t="e">
        <f>AND(#REF!,"AAAAAF3X9xI=")</f>
        <v>#REF!</v>
      </c>
      <c r="T2" t="e">
        <f>AND(#REF!,"AAAAAF3X9xM=")</f>
        <v>#REF!</v>
      </c>
      <c r="U2" t="e">
        <f>AND(#REF!,"AAAAAF3X9xQ=")</f>
        <v>#REF!</v>
      </c>
      <c r="V2" t="e">
        <f>AND(#REF!,"AAAAAF3X9xU=")</f>
        <v>#REF!</v>
      </c>
      <c r="W2" t="e">
        <f>AND(#REF!,"AAAAAF3X9xY=")</f>
        <v>#REF!</v>
      </c>
      <c r="X2" t="e">
        <f>AND(#REF!,"AAAAAF3X9xc=")</f>
        <v>#REF!</v>
      </c>
      <c r="Y2" t="e">
        <f>AND(#REF!,"AAAAAF3X9xg=")</f>
        <v>#REF!</v>
      </c>
      <c r="Z2" t="e">
        <f>AND(#REF!,"AAAAAF3X9xk=")</f>
        <v>#REF!</v>
      </c>
      <c r="AA2" t="e">
        <f>AND(#REF!,"AAAAAF3X9xo=")</f>
        <v>#REF!</v>
      </c>
      <c r="AB2" t="e">
        <f>AND(#REF!,"AAAAAF3X9xs=")</f>
        <v>#REF!</v>
      </c>
      <c r="AC2" t="e">
        <f>AND(#REF!,"AAAAAF3X9xw=")</f>
        <v>#REF!</v>
      </c>
      <c r="AD2" t="e">
        <f>IF(#REF!,"AAAAAF3X9x0=",0)</f>
        <v>#REF!</v>
      </c>
      <c r="AE2" t="e">
        <f>AND(#REF!,"AAAAAF3X9x4=")</f>
        <v>#REF!</v>
      </c>
      <c r="AF2" t="e">
        <f>AND(#REF!,"AAAAAF3X9x8=")</f>
        <v>#REF!</v>
      </c>
      <c r="AG2" t="e">
        <f>AND(#REF!,"AAAAAF3X9yA=")</f>
        <v>#REF!</v>
      </c>
      <c r="AH2" t="e">
        <f>AND(#REF!,"AAAAAF3X9yE=")</f>
        <v>#REF!</v>
      </c>
      <c r="AI2" t="e">
        <f>AND(#REF!,"AAAAAF3X9yI=")</f>
        <v>#REF!</v>
      </c>
      <c r="AJ2" t="e">
        <f>AND(#REF!,"AAAAAF3X9yM=")</f>
        <v>#REF!</v>
      </c>
      <c r="AK2" t="e">
        <f>AND(#REF!,"AAAAAF3X9yQ=")</f>
        <v>#REF!</v>
      </c>
      <c r="AL2" t="e">
        <f>AND(#REF!,"AAAAAF3X9yU=")</f>
        <v>#REF!</v>
      </c>
      <c r="AM2" t="e">
        <f>AND(#REF!,"AAAAAF3X9yY=")</f>
        <v>#REF!</v>
      </c>
      <c r="AN2" t="e">
        <f>AND(#REF!,"AAAAAF3X9yc=")</f>
        <v>#REF!</v>
      </c>
      <c r="AO2" t="e">
        <f>AND(#REF!,"AAAAAF3X9yg=")</f>
        <v>#REF!</v>
      </c>
      <c r="AP2" t="e">
        <f>AND(#REF!,"AAAAAF3X9yk=")</f>
        <v>#REF!</v>
      </c>
      <c r="AQ2" t="e">
        <f>AND(#REF!,"AAAAAF3X9yo=")</f>
        <v>#REF!</v>
      </c>
      <c r="AR2" t="e">
        <f>AND(#REF!,"AAAAAF3X9ys=")</f>
        <v>#REF!</v>
      </c>
      <c r="AS2" t="e">
        <f>AND(#REF!,"AAAAAF3X9yw=")</f>
        <v>#REF!</v>
      </c>
      <c r="AT2" t="e">
        <f>AND(#REF!,"AAAAAF3X9y0=")</f>
        <v>#REF!</v>
      </c>
      <c r="AU2" t="e">
        <f>AND(#REF!,"AAAAAF3X9y4=")</f>
        <v>#REF!</v>
      </c>
      <c r="AV2" t="e">
        <f>AND(#REF!,"AAAAAF3X9y8=")</f>
        <v>#REF!</v>
      </c>
      <c r="AW2" t="e">
        <f>IF(#REF!,"AAAAAF3X9zA=",0)</f>
        <v>#REF!</v>
      </c>
      <c r="AX2" t="e">
        <f>AND(#REF!,"AAAAAF3X9zE=")</f>
        <v>#REF!</v>
      </c>
      <c r="AY2" t="e">
        <f>AND(#REF!,"AAAAAF3X9zI=")</f>
        <v>#REF!</v>
      </c>
      <c r="AZ2" t="e">
        <f>AND(#REF!,"AAAAAF3X9zM=")</f>
        <v>#REF!</v>
      </c>
      <c r="BA2" t="e">
        <f>AND(#REF!,"AAAAAF3X9zQ=")</f>
        <v>#REF!</v>
      </c>
      <c r="BB2" t="e">
        <f>AND(#REF!,"AAAAAF3X9zU=")</f>
        <v>#REF!</v>
      </c>
      <c r="BC2" t="e">
        <f>AND(#REF!,"AAAAAF3X9zY=")</f>
        <v>#REF!</v>
      </c>
      <c r="BD2" t="e">
        <f>AND(#REF!,"AAAAAF3X9zc=")</f>
        <v>#REF!</v>
      </c>
      <c r="BE2" t="e">
        <f>AND(#REF!,"AAAAAF3X9zg=")</f>
        <v>#REF!</v>
      </c>
      <c r="BF2" t="e">
        <f>AND(#REF!,"AAAAAF3X9zk=")</f>
        <v>#REF!</v>
      </c>
      <c r="BG2" t="e">
        <f>AND(#REF!,"AAAAAF3X9zo=")</f>
        <v>#REF!</v>
      </c>
      <c r="BH2" t="e">
        <f>AND(#REF!,"AAAAAF3X9zs=")</f>
        <v>#REF!</v>
      </c>
      <c r="BI2" t="e">
        <f>AND(#REF!,"AAAAAF3X9zw=")</f>
        <v>#REF!</v>
      </c>
      <c r="BJ2" t="e">
        <f>AND(#REF!,"AAAAAF3X9z0=")</f>
        <v>#REF!</v>
      </c>
      <c r="BK2" t="e">
        <f>AND(#REF!,"AAAAAF3X9z4=")</f>
        <v>#REF!</v>
      </c>
      <c r="BL2" t="e">
        <f>AND(#REF!,"AAAAAF3X9z8=")</f>
        <v>#REF!</v>
      </c>
      <c r="BM2" t="e">
        <f>AND(#REF!,"AAAAAF3X90A=")</f>
        <v>#REF!</v>
      </c>
      <c r="BN2" t="e">
        <f>AND(#REF!,"AAAAAF3X90E=")</f>
        <v>#REF!</v>
      </c>
      <c r="BO2" t="e">
        <f>AND(#REF!,"AAAAAF3X90I=")</f>
        <v>#REF!</v>
      </c>
      <c r="BP2" t="e">
        <f>IF(#REF!,"AAAAAF3X90M=",0)</f>
        <v>#REF!</v>
      </c>
      <c r="BQ2" t="e">
        <f>AND(#REF!,"AAAAAF3X90Q=")</f>
        <v>#REF!</v>
      </c>
      <c r="BR2" t="e">
        <f>AND(#REF!,"AAAAAF3X90U=")</f>
        <v>#REF!</v>
      </c>
      <c r="BS2" t="e">
        <f>AND(#REF!,"AAAAAF3X90Y=")</f>
        <v>#REF!</v>
      </c>
      <c r="BT2" t="e">
        <f>AND(#REF!,"AAAAAF3X90c=")</f>
        <v>#REF!</v>
      </c>
      <c r="BU2" t="e">
        <f>AND(#REF!,"AAAAAF3X90g=")</f>
        <v>#REF!</v>
      </c>
      <c r="BV2" t="e">
        <f>AND(#REF!,"AAAAAF3X90k=")</f>
        <v>#REF!</v>
      </c>
      <c r="BW2" t="e">
        <f>AND(#REF!,"AAAAAF3X90o=")</f>
        <v>#REF!</v>
      </c>
      <c r="BX2" t="e">
        <f>AND(#REF!,"AAAAAF3X90s=")</f>
        <v>#REF!</v>
      </c>
      <c r="BY2" t="e">
        <f>AND(#REF!,"AAAAAF3X90w=")</f>
        <v>#REF!</v>
      </c>
      <c r="BZ2" t="e">
        <f>AND(#REF!,"AAAAAF3X900=")</f>
        <v>#REF!</v>
      </c>
      <c r="CA2" t="e">
        <f>AND(#REF!,"AAAAAF3X904=")</f>
        <v>#REF!</v>
      </c>
      <c r="CB2" t="e">
        <f>AND(#REF!,"AAAAAF3X908=")</f>
        <v>#REF!</v>
      </c>
      <c r="CC2" t="e">
        <f>AND(#REF!,"AAAAAF3X91A=")</f>
        <v>#REF!</v>
      </c>
      <c r="CD2" t="e">
        <f>AND(#REF!,"AAAAAF3X91E=")</f>
        <v>#REF!</v>
      </c>
      <c r="CE2" t="e">
        <f>AND(#REF!,"AAAAAF3X91I=")</f>
        <v>#REF!</v>
      </c>
      <c r="CF2" t="e">
        <f>AND(#REF!,"AAAAAF3X91M=")</f>
        <v>#REF!</v>
      </c>
      <c r="CG2" t="e">
        <f>AND(#REF!,"AAAAAF3X91Q=")</f>
        <v>#REF!</v>
      </c>
      <c r="CH2" t="e">
        <f>AND(#REF!,"AAAAAF3X91U=")</f>
        <v>#REF!</v>
      </c>
      <c r="CI2" t="e">
        <f>IF(#REF!,"AAAAAF3X91Y=",0)</f>
        <v>#REF!</v>
      </c>
      <c r="CJ2" t="e">
        <f>AND(#REF!,"AAAAAF3X91c=")</f>
        <v>#REF!</v>
      </c>
      <c r="CK2" t="e">
        <f>AND(#REF!,"AAAAAF3X91g=")</f>
        <v>#REF!</v>
      </c>
      <c r="CL2" t="e">
        <f>AND(#REF!,"AAAAAF3X91k=")</f>
        <v>#REF!</v>
      </c>
      <c r="CM2" t="e">
        <f>AND(#REF!,"AAAAAF3X91o=")</f>
        <v>#REF!</v>
      </c>
      <c r="CN2" t="e">
        <f>AND(#REF!,"AAAAAF3X91s=")</f>
        <v>#REF!</v>
      </c>
      <c r="CO2" t="e">
        <f>AND(#REF!,"AAAAAF3X91w=")</f>
        <v>#REF!</v>
      </c>
      <c r="CP2" t="e">
        <f>AND(#REF!,"AAAAAF3X910=")</f>
        <v>#REF!</v>
      </c>
      <c r="CQ2" t="e">
        <f>AND(#REF!,"AAAAAF3X914=")</f>
        <v>#REF!</v>
      </c>
      <c r="CR2" t="e">
        <f>AND(#REF!,"AAAAAF3X918=")</f>
        <v>#REF!</v>
      </c>
      <c r="CS2" t="e">
        <f>AND(#REF!,"AAAAAF3X92A=")</f>
        <v>#REF!</v>
      </c>
      <c r="CT2" t="e">
        <f>AND(#REF!,"AAAAAF3X92E=")</f>
        <v>#REF!</v>
      </c>
      <c r="CU2" t="e">
        <f>AND(#REF!,"AAAAAF3X92I=")</f>
        <v>#REF!</v>
      </c>
      <c r="CV2" t="e">
        <f>AND(#REF!,"AAAAAF3X92M=")</f>
        <v>#REF!</v>
      </c>
      <c r="CW2" t="e">
        <f>AND(#REF!,"AAAAAF3X92Q=")</f>
        <v>#REF!</v>
      </c>
      <c r="CX2" t="e">
        <f>AND(#REF!,"AAAAAF3X92U=")</f>
        <v>#REF!</v>
      </c>
      <c r="CY2" t="e">
        <f>AND(#REF!,"AAAAAF3X92Y=")</f>
        <v>#REF!</v>
      </c>
      <c r="CZ2" t="e">
        <f>AND(#REF!,"AAAAAF3X92c=")</f>
        <v>#REF!</v>
      </c>
      <c r="DA2" t="e">
        <f>AND(#REF!,"AAAAAF3X92g=")</f>
        <v>#REF!</v>
      </c>
      <c r="DB2" t="e">
        <f>IF(#REF!,"AAAAAF3X92k=",0)</f>
        <v>#REF!</v>
      </c>
      <c r="DC2" t="e">
        <f>AND(#REF!,"AAAAAF3X92o=")</f>
        <v>#REF!</v>
      </c>
      <c r="DD2" t="e">
        <f>AND(#REF!,"AAAAAF3X92s=")</f>
        <v>#REF!</v>
      </c>
      <c r="DE2" t="e">
        <f>AND(#REF!,"AAAAAF3X92w=")</f>
        <v>#REF!</v>
      </c>
      <c r="DF2" t="e">
        <f>AND(#REF!,"AAAAAF3X920=")</f>
        <v>#REF!</v>
      </c>
      <c r="DG2" t="e">
        <f>AND(#REF!,"AAAAAF3X924=")</f>
        <v>#REF!</v>
      </c>
      <c r="DH2" t="e">
        <f>AND(#REF!,"AAAAAF3X928=")</f>
        <v>#REF!</v>
      </c>
      <c r="DI2" t="e">
        <f>AND(#REF!,"AAAAAF3X93A=")</f>
        <v>#REF!</v>
      </c>
      <c r="DJ2" t="e">
        <f>AND(#REF!,"AAAAAF3X93E=")</f>
        <v>#REF!</v>
      </c>
      <c r="DK2" t="e">
        <f>AND(#REF!,"AAAAAF3X93I=")</f>
        <v>#REF!</v>
      </c>
      <c r="DL2" t="e">
        <f>AND(#REF!,"AAAAAF3X93M=")</f>
        <v>#REF!</v>
      </c>
      <c r="DM2" t="e">
        <f>AND(#REF!,"AAAAAF3X93Q=")</f>
        <v>#REF!</v>
      </c>
      <c r="DN2" t="e">
        <f>AND(#REF!,"AAAAAF3X93U=")</f>
        <v>#REF!</v>
      </c>
      <c r="DO2" t="e">
        <f>AND(#REF!,"AAAAAF3X93Y=")</f>
        <v>#REF!</v>
      </c>
      <c r="DP2" t="e">
        <f>AND(#REF!,"AAAAAF3X93c=")</f>
        <v>#REF!</v>
      </c>
      <c r="DQ2" t="e">
        <f>AND(#REF!,"AAAAAF3X93g=")</f>
        <v>#REF!</v>
      </c>
      <c r="DR2" t="e">
        <f>AND(#REF!,"AAAAAF3X93k=")</f>
        <v>#REF!</v>
      </c>
      <c r="DS2" t="e">
        <f>AND(#REF!,"AAAAAF3X93o=")</f>
        <v>#REF!</v>
      </c>
      <c r="DT2" t="e">
        <f>AND(#REF!,"AAAAAF3X93s=")</f>
        <v>#REF!</v>
      </c>
      <c r="DU2" t="e">
        <f>IF(#REF!,"AAAAAF3X93w=",0)</f>
        <v>#REF!</v>
      </c>
      <c r="DV2" t="e">
        <f>AND(#REF!,"AAAAAF3X930=")</f>
        <v>#REF!</v>
      </c>
      <c r="DW2" t="e">
        <f>AND(#REF!,"AAAAAF3X934=")</f>
        <v>#REF!</v>
      </c>
      <c r="DX2" t="e">
        <f>AND(#REF!,"AAAAAF3X938=")</f>
        <v>#REF!</v>
      </c>
      <c r="DY2" t="e">
        <f>AND(#REF!,"AAAAAF3X94A=")</f>
        <v>#REF!</v>
      </c>
      <c r="DZ2" t="e">
        <f>AND(#REF!,"AAAAAF3X94E=")</f>
        <v>#REF!</v>
      </c>
      <c r="EA2" t="e">
        <f>AND(#REF!,"AAAAAF3X94I=")</f>
        <v>#REF!</v>
      </c>
      <c r="EB2" t="e">
        <f>AND(#REF!,"AAAAAF3X94M=")</f>
        <v>#REF!</v>
      </c>
      <c r="EC2" t="e">
        <f>AND(#REF!,"AAAAAF3X94Q=")</f>
        <v>#REF!</v>
      </c>
      <c r="ED2" t="e">
        <f>AND(#REF!,"AAAAAF3X94U=")</f>
        <v>#REF!</v>
      </c>
      <c r="EE2" t="e">
        <f>AND(#REF!,"AAAAAF3X94Y=")</f>
        <v>#REF!</v>
      </c>
      <c r="EF2" t="e">
        <f>AND(#REF!,"AAAAAF3X94c=")</f>
        <v>#REF!</v>
      </c>
      <c r="EG2" t="e">
        <f>AND(#REF!,"AAAAAF3X94g=")</f>
        <v>#REF!</v>
      </c>
      <c r="EH2" t="e">
        <f>AND(#REF!,"AAAAAF3X94k=")</f>
        <v>#REF!</v>
      </c>
      <c r="EI2" t="e">
        <f>AND(#REF!,"AAAAAF3X94o=")</f>
        <v>#REF!</v>
      </c>
      <c r="EJ2" t="e">
        <f>AND(#REF!,"AAAAAF3X94s=")</f>
        <v>#REF!</v>
      </c>
      <c r="EK2" t="e">
        <f>AND(#REF!,"AAAAAF3X94w=")</f>
        <v>#REF!</v>
      </c>
      <c r="EL2" t="e">
        <f>AND(#REF!,"AAAAAF3X940=")</f>
        <v>#REF!</v>
      </c>
      <c r="EM2" t="e">
        <f>AND(#REF!,"AAAAAF3X944=")</f>
        <v>#REF!</v>
      </c>
      <c r="EN2" t="e">
        <f>IF(#REF!,"AAAAAF3X948=",0)</f>
        <v>#REF!</v>
      </c>
      <c r="EO2" t="e">
        <f>AND(#REF!,"AAAAAF3X95A=")</f>
        <v>#REF!</v>
      </c>
      <c r="EP2" t="e">
        <f>AND(#REF!,"AAAAAF3X95E=")</f>
        <v>#REF!</v>
      </c>
      <c r="EQ2" t="e">
        <f>AND(#REF!,"AAAAAF3X95I=")</f>
        <v>#REF!</v>
      </c>
      <c r="ER2" t="e">
        <f>AND(#REF!,"AAAAAF3X95M=")</f>
        <v>#REF!</v>
      </c>
      <c r="ES2" t="e">
        <f>AND(#REF!,"AAAAAF3X95Q=")</f>
        <v>#REF!</v>
      </c>
      <c r="ET2" t="e">
        <f>AND(#REF!,"AAAAAF3X95U=")</f>
        <v>#REF!</v>
      </c>
      <c r="EU2" t="e">
        <f>AND(#REF!,"AAAAAF3X95Y=")</f>
        <v>#REF!</v>
      </c>
      <c r="EV2" t="e">
        <f>AND(#REF!,"AAAAAF3X95c=")</f>
        <v>#REF!</v>
      </c>
      <c r="EW2" t="e">
        <f>AND(#REF!,"AAAAAF3X95g=")</f>
        <v>#REF!</v>
      </c>
      <c r="EX2" t="e">
        <f>AND(#REF!,"AAAAAF3X95k=")</f>
        <v>#REF!</v>
      </c>
      <c r="EY2" t="e">
        <f>AND(#REF!,"AAAAAF3X95o=")</f>
        <v>#REF!</v>
      </c>
      <c r="EZ2" t="e">
        <f>AND(#REF!,"AAAAAF3X95s=")</f>
        <v>#REF!</v>
      </c>
      <c r="FA2" t="e">
        <f>AND(#REF!,"AAAAAF3X95w=")</f>
        <v>#REF!</v>
      </c>
      <c r="FB2" t="e">
        <f>AND(#REF!,"AAAAAF3X950=")</f>
        <v>#REF!</v>
      </c>
      <c r="FC2" t="e">
        <f>AND(#REF!,"AAAAAF3X954=")</f>
        <v>#REF!</v>
      </c>
      <c r="FD2" t="e">
        <f>AND(#REF!,"AAAAAF3X958=")</f>
        <v>#REF!</v>
      </c>
      <c r="FE2" t="e">
        <f>AND(#REF!,"AAAAAF3X96A=")</f>
        <v>#REF!</v>
      </c>
      <c r="FF2" t="e">
        <f>AND(#REF!,"AAAAAF3X96E=")</f>
        <v>#REF!</v>
      </c>
      <c r="FG2" t="e">
        <f>IF(#REF!,"AAAAAF3X96I=",0)</f>
        <v>#REF!</v>
      </c>
      <c r="FH2" t="e">
        <f>AND(#REF!,"AAAAAF3X96M=")</f>
        <v>#REF!</v>
      </c>
      <c r="FI2" t="e">
        <f>AND(#REF!,"AAAAAF3X96Q=")</f>
        <v>#REF!</v>
      </c>
      <c r="FJ2" t="e">
        <f>AND(#REF!,"AAAAAF3X96U=")</f>
        <v>#REF!</v>
      </c>
      <c r="FK2" t="e">
        <f>AND(#REF!,"AAAAAF3X96Y=")</f>
        <v>#REF!</v>
      </c>
      <c r="FL2" t="e">
        <f>AND(#REF!,"AAAAAF3X96c=")</f>
        <v>#REF!</v>
      </c>
      <c r="FM2" t="e">
        <f>AND(#REF!,"AAAAAF3X96g=")</f>
        <v>#REF!</v>
      </c>
      <c r="FN2" t="e">
        <f>AND(#REF!,"AAAAAF3X96k=")</f>
        <v>#REF!</v>
      </c>
      <c r="FO2" t="e">
        <f>AND(#REF!,"AAAAAF3X96o=")</f>
        <v>#REF!</v>
      </c>
      <c r="FP2" t="e">
        <f>AND(#REF!,"AAAAAF3X96s=")</f>
        <v>#REF!</v>
      </c>
      <c r="FQ2" t="e">
        <f>AND(#REF!,"AAAAAF3X96w=")</f>
        <v>#REF!</v>
      </c>
      <c r="FR2" t="e">
        <f>AND(#REF!,"AAAAAF3X960=")</f>
        <v>#REF!</v>
      </c>
      <c r="FS2" t="e">
        <f>AND(#REF!,"AAAAAF3X964=")</f>
        <v>#REF!</v>
      </c>
      <c r="FT2" t="e">
        <f>AND(#REF!,"AAAAAF3X968=")</f>
        <v>#REF!</v>
      </c>
      <c r="FU2" t="e">
        <f>AND(#REF!,"AAAAAF3X97A=")</f>
        <v>#REF!</v>
      </c>
      <c r="FV2" t="e">
        <f>AND(#REF!,"AAAAAF3X97E=")</f>
        <v>#REF!</v>
      </c>
      <c r="FW2" t="e">
        <f>AND(#REF!,"AAAAAF3X97I=")</f>
        <v>#REF!</v>
      </c>
      <c r="FX2" t="e">
        <f>AND(#REF!,"AAAAAF3X97M=")</f>
        <v>#REF!</v>
      </c>
      <c r="FY2" t="e">
        <f>AND(#REF!,"AAAAAF3X97Q=")</f>
        <v>#REF!</v>
      </c>
      <c r="FZ2" t="e">
        <f>IF(#REF!,"AAAAAF3X97U=",0)</f>
        <v>#REF!</v>
      </c>
      <c r="GA2" t="e">
        <f>AND(#REF!,"AAAAAF3X97Y=")</f>
        <v>#REF!</v>
      </c>
      <c r="GB2" t="e">
        <f>AND(#REF!,"AAAAAF3X97c=")</f>
        <v>#REF!</v>
      </c>
      <c r="GC2" t="e">
        <f>AND(#REF!,"AAAAAF3X97g=")</f>
        <v>#REF!</v>
      </c>
      <c r="GD2" t="e">
        <f>AND(#REF!,"AAAAAF3X97k=")</f>
        <v>#REF!</v>
      </c>
      <c r="GE2" t="e">
        <f>AND(#REF!,"AAAAAF3X97o=")</f>
        <v>#REF!</v>
      </c>
      <c r="GF2" t="e">
        <f>AND(#REF!,"AAAAAF3X97s=")</f>
        <v>#REF!</v>
      </c>
      <c r="GG2" t="e">
        <f>AND(#REF!,"AAAAAF3X97w=")</f>
        <v>#REF!</v>
      </c>
      <c r="GH2" t="e">
        <f>AND(#REF!,"AAAAAF3X970=")</f>
        <v>#REF!</v>
      </c>
      <c r="GI2" t="e">
        <f>AND(#REF!,"AAAAAF3X974=")</f>
        <v>#REF!</v>
      </c>
      <c r="GJ2" t="e">
        <f>AND(#REF!,"AAAAAF3X978=")</f>
        <v>#REF!</v>
      </c>
      <c r="GK2" t="e">
        <f>AND(#REF!,"AAAAAF3X98A=")</f>
        <v>#REF!</v>
      </c>
      <c r="GL2" t="e">
        <f>AND(#REF!,"AAAAAF3X98E=")</f>
        <v>#REF!</v>
      </c>
      <c r="GM2" t="e">
        <f>AND(#REF!,"AAAAAF3X98I=")</f>
        <v>#REF!</v>
      </c>
      <c r="GN2" t="e">
        <f>AND(#REF!,"AAAAAF3X98M=")</f>
        <v>#REF!</v>
      </c>
      <c r="GO2" t="e">
        <f>AND(#REF!,"AAAAAF3X98Q=")</f>
        <v>#REF!</v>
      </c>
      <c r="GP2" t="e">
        <f>AND(#REF!,"AAAAAF3X98U=")</f>
        <v>#REF!</v>
      </c>
      <c r="GQ2" t="e">
        <f>AND(#REF!,"AAAAAF3X98Y=")</f>
        <v>#REF!</v>
      </c>
      <c r="GR2" t="e">
        <f>AND(#REF!,"AAAAAF3X98c=")</f>
        <v>#REF!</v>
      </c>
      <c r="GS2" t="e">
        <f>IF(#REF!,"AAAAAF3X98g=",0)</f>
        <v>#REF!</v>
      </c>
      <c r="GT2" t="e">
        <f>AND(#REF!,"AAAAAF3X98k=")</f>
        <v>#REF!</v>
      </c>
      <c r="GU2" t="e">
        <f>AND(#REF!,"AAAAAF3X98o=")</f>
        <v>#REF!</v>
      </c>
      <c r="GV2" t="e">
        <f>AND(#REF!,"AAAAAF3X98s=")</f>
        <v>#REF!</v>
      </c>
      <c r="GW2" t="e">
        <f>AND(#REF!,"AAAAAF3X98w=")</f>
        <v>#REF!</v>
      </c>
      <c r="GX2" t="e">
        <f>AND(#REF!,"AAAAAF3X980=")</f>
        <v>#REF!</v>
      </c>
      <c r="GY2" t="e">
        <f>AND(#REF!,"AAAAAF3X984=")</f>
        <v>#REF!</v>
      </c>
      <c r="GZ2" t="e">
        <f>AND(#REF!,"AAAAAF3X988=")</f>
        <v>#REF!</v>
      </c>
      <c r="HA2" t="e">
        <f>AND(#REF!,"AAAAAF3X99A=")</f>
        <v>#REF!</v>
      </c>
      <c r="HB2" t="e">
        <f>AND(#REF!,"AAAAAF3X99E=")</f>
        <v>#REF!</v>
      </c>
      <c r="HC2" t="e">
        <f>AND(#REF!,"AAAAAF3X99I=")</f>
        <v>#REF!</v>
      </c>
      <c r="HD2" t="e">
        <f>AND(#REF!,"AAAAAF3X99M=")</f>
        <v>#REF!</v>
      </c>
      <c r="HE2" t="e">
        <f>AND(#REF!,"AAAAAF3X99Q=")</f>
        <v>#REF!</v>
      </c>
      <c r="HF2" t="e">
        <f>AND(#REF!,"AAAAAF3X99U=")</f>
        <v>#REF!</v>
      </c>
      <c r="HG2" t="e">
        <f>AND(#REF!,"AAAAAF3X99Y=")</f>
        <v>#REF!</v>
      </c>
      <c r="HH2" t="e">
        <f>AND(#REF!,"AAAAAF3X99c=")</f>
        <v>#REF!</v>
      </c>
      <c r="HI2" t="e">
        <f>AND(#REF!,"AAAAAF3X99g=")</f>
        <v>#REF!</v>
      </c>
      <c r="HJ2" t="e">
        <f>AND(#REF!,"AAAAAF3X99k=")</f>
        <v>#REF!</v>
      </c>
      <c r="HK2" t="e">
        <f>AND(#REF!,"AAAAAF3X99o=")</f>
        <v>#REF!</v>
      </c>
      <c r="HL2" t="e">
        <f>IF(#REF!,"AAAAAF3X99s=",0)</f>
        <v>#REF!</v>
      </c>
      <c r="HM2" t="e">
        <f>AND(#REF!,"AAAAAF3X99w=")</f>
        <v>#REF!</v>
      </c>
      <c r="HN2" t="e">
        <f>AND(#REF!,"AAAAAF3X990=")</f>
        <v>#REF!</v>
      </c>
      <c r="HO2" t="e">
        <f>AND(#REF!,"AAAAAF3X994=")</f>
        <v>#REF!</v>
      </c>
      <c r="HP2" t="e">
        <f>AND(#REF!,"AAAAAF3X998=")</f>
        <v>#REF!</v>
      </c>
      <c r="HQ2" t="e">
        <f>AND(#REF!,"AAAAAF3X9+A=")</f>
        <v>#REF!</v>
      </c>
      <c r="HR2" t="e">
        <f>AND(#REF!,"AAAAAF3X9+E=")</f>
        <v>#REF!</v>
      </c>
      <c r="HS2" t="e">
        <f>AND(#REF!,"AAAAAF3X9+I=")</f>
        <v>#REF!</v>
      </c>
      <c r="HT2" t="e">
        <f>AND(#REF!,"AAAAAF3X9+M=")</f>
        <v>#REF!</v>
      </c>
      <c r="HU2" t="e">
        <f>AND(#REF!,"AAAAAF3X9+Q=")</f>
        <v>#REF!</v>
      </c>
      <c r="HV2" t="e">
        <f>AND(#REF!,"AAAAAF3X9+U=")</f>
        <v>#REF!</v>
      </c>
      <c r="HW2" t="e">
        <f>AND(#REF!,"AAAAAF3X9+Y=")</f>
        <v>#REF!</v>
      </c>
      <c r="HX2" t="e">
        <f>AND(#REF!,"AAAAAF3X9+c=")</f>
        <v>#REF!</v>
      </c>
      <c r="HY2" t="e">
        <f>AND(#REF!,"AAAAAF3X9+g=")</f>
        <v>#REF!</v>
      </c>
      <c r="HZ2" t="e">
        <f>AND(#REF!,"AAAAAF3X9+k=")</f>
        <v>#REF!</v>
      </c>
      <c r="IA2" t="e">
        <f>AND(#REF!,"AAAAAF3X9+o=")</f>
        <v>#REF!</v>
      </c>
      <c r="IB2" t="e">
        <f>AND(#REF!,"AAAAAF3X9+s=")</f>
        <v>#REF!</v>
      </c>
      <c r="IC2" t="e">
        <f>AND(#REF!,"AAAAAF3X9+w=")</f>
        <v>#REF!</v>
      </c>
      <c r="ID2" t="e">
        <f>AND(#REF!,"AAAAAF3X9+0=")</f>
        <v>#REF!</v>
      </c>
      <c r="IE2" t="e">
        <f>IF(#REF!,"AAAAAF3X9+4=",0)</f>
        <v>#REF!</v>
      </c>
      <c r="IF2" t="e">
        <f>AND(#REF!,"AAAAAF3X9+8=")</f>
        <v>#REF!</v>
      </c>
      <c r="IG2" t="e">
        <f>AND(#REF!,"AAAAAF3X9/A=")</f>
        <v>#REF!</v>
      </c>
      <c r="IH2" t="e">
        <f>AND(#REF!,"AAAAAF3X9/E=")</f>
        <v>#REF!</v>
      </c>
      <c r="II2" t="e">
        <f>AND(#REF!,"AAAAAF3X9/I=")</f>
        <v>#REF!</v>
      </c>
      <c r="IJ2" t="e">
        <f>AND(#REF!,"AAAAAF3X9/M=")</f>
        <v>#REF!</v>
      </c>
      <c r="IK2" t="e">
        <f>AND(#REF!,"AAAAAF3X9/Q=")</f>
        <v>#REF!</v>
      </c>
      <c r="IL2" t="e">
        <f>AND(#REF!,"AAAAAF3X9/U=")</f>
        <v>#REF!</v>
      </c>
      <c r="IM2" t="e">
        <f>AND(#REF!,"AAAAAF3X9/Y=")</f>
        <v>#REF!</v>
      </c>
      <c r="IN2" t="e">
        <f>AND(#REF!,"AAAAAF3X9/c=")</f>
        <v>#REF!</v>
      </c>
      <c r="IO2" t="e">
        <f>AND(#REF!,"AAAAAF3X9/g=")</f>
        <v>#REF!</v>
      </c>
      <c r="IP2" t="e">
        <f>AND(#REF!,"AAAAAF3X9/k=")</f>
        <v>#REF!</v>
      </c>
      <c r="IQ2" t="e">
        <f>AND(#REF!,"AAAAAF3X9/o=")</f>
        <v>#REF!</v>
      </c>
      <c r="IR2" t="e">
        <f>AND(#REF!,"AAAAAF3X9/s=")</f>
        <v>#REF!</v>
      </c>
      <c r="IS2" t="e">
        <f>AND(#REF!,"AAAAAF3X9/w=")</f>
        <v>#REF!</v>
      </c>
      <c r="IT2" t="e">
        <f>AND(#REF!,"AAAAAF3X9/0=")</f>
        <v>#REF!</v>
      </c>
      <c r="IU2" t="e">
        <f>AND(#REF!,"AAAAAF3X9/4=")</f>
        <v>#REF!</v>
      </c>
      <c r="IV2" t="e">
        <f>AND(#REF!,"AAAAAF3X9/8=")</f>
        <v>#REF!</v>
      </c>
    </row>
    <row r="3" spans="1:256">
      <c r="A3" t="e">
        <f>AND(#REF!,"AAAAAFedvwA=")</f>
        <v>#REF!</v>
      </c>
      <c r="B3" t="e">
        <f>IF(#REF!,"AAAAAFedvwE=",0)</f>
        <v>#REF!</v>
      </c>
      <c r="C3" t="e">
        <f>AND(#REF!,"AAAAAFedvwI=")</f>
        <v>#REF!</v>
      </c>
      <c r="D3" t="e">
        <f>AND(#REF!,"AAAAAFedvwM=")</f>
        <v>#REF!</v>
      </c>
      <c r="E3" t="e">
        <f>AND(#REF!,"AAAAAFedvwQ=")</f>
        <v>#REF!</v>
      </c>
      <c r="F3" t="e">
        <f>AND(#REF!,"AAAAAFedvwU=")</f>
        <v>#REF!</v>
      </c>
      <c r="G3" t="e">
        <f>AND(#REF!,"AAAAAFedvwY=")</f>
        <v>#REF!</v>
      </c>
      <c r="H3" t="e">
        <f>AND(#REF!,"AAAAAFedvwc=")</f>
        <v>#REF!</v>
      </c>
      <c r="I3" t="e">
        <f>AND(#REF!,"AAAAAFedvwg=")</f>
        <v>#REF!</v>
      </c>
      <c r="J3" t="e">
        <f>AND(#REF!,"AAAAAFedvwk=")</f>
        <v>#REF!</v>
      </c>
      <c r="K3" t="e">
        <f>AND(#REF!,"AAAAAFedvwo=")</f>
        <v>#REF!</v>
      </c>
      <c r="L3" t="e">
        <f>AND(#REF!,"AAAAAFedvws=")</f>
        <v>#REF!</v>
      </c>
      <c r="M3" t="e">
        <f>AND(#REF!,"AAAAAFedvww=")</f>
        <v>#REF!</v>
      </c>
      <c r="N3" t="e">
        <f>AND(#REF!,"AAAAAFedvw0=")</f>
        <v>#REF!</v>
      </c>
      <c r="O3" t="e">
        <f>AND(#REF!,"AAAAAFedvw4=")</f>
        <v>#REF!</v>
      </c>
      <c r="P3" t="e">
        <f>AND(#REF!,"AAAAAFedvw8=")</f>
        <v>#REF!</v>
      </c>
      <c r="Q3" t="e">
        <f>AND(#REF!,"AAAAAFedvxA=")</f>
        <v>#REF!</v>
      </c>
      <c r="R3" t="e">
        <f>AND(#REF!,"AAAAAFedvxE=")</f>
        <v>#REF!</v>
      </c>
      <c r="S3" t="e">
        <f>AND(#REF!,"AAAAAFedvxI=")</f>
        <v>#REF!</v>
      </c>
      <c r="T3" t="e">
        <f>AND(#REF!,"AAAAAFedvxM=")</f>
        <v>#REF!</v>
      </c>
      <c r="U3" t="e">
        <f>IF(#REF!,"AAAAAFedvxQ=",0)</f>
        <v>#REF!</v>
      </c>
      <c r="V3" t="e">
        <f>AND(#REF!,"AAAAAFedvxU=")</f>
        <v>#REF!</v>
      </c>
      <c r="W3" t="e">
        <f>AND(#REF!,"AAAAAFedvxY=")</f>
        <v>#REF!</v>
      </c>
      <c r="X3" t="e">
        <f>AND(#REF!,"AAAAAFedvxc=")</f>
        <v>#REF!</v>
      </c>
      <c r="Y3" t="e">
        <f>AND(#REF!,"AAAAAFedvxg=")</f>
        <v>#REF!</v>
      </c>
      <c r="Z3" t="e">
        <f>AND(#REF!,"AAAAAFedvxk=")</f>
        <v>#REF!</v>
      </c>
      <c r="AA3" t="e">
        <f>AND(#REF!,"AAAAAFedvxo=")</f>
        <v>#REF!</v>
      </c>
      <c r="AB3" t="e">
        <f>AND(#REF!,"AAAAAFedvxs=")</f>
        <v>#REF!</v>
      </c>
      <c r="AC3" t="e">
        <f>AND(#REF!,"AAAAAFedvxw=")</f>
        <v>#REF!</v>
      </c>
      <c r="AD3" t="e">
        <f>AND(#REF!,"AAAAAFedvx0=")</f>
        <v>#REF!</v>
      </c>
      <c r="AE3" t="e">
        <f>AND(#REF!,"AAAAAFedvx4=")</f>
        <v>#REF!</v>
      </c>
      <c r="AF3" t="e">
        <f>AND(#REF!,"AAAAAFedvx8=")</f>
        <v>#REF!</v>
      </c>
      <c r="AG3" t="e">
        <f>AND(#REF!,"AAAAAFedvyA=")</f>
        <v>#REF!</v>
      </c>
      <c r="AH3" t="e">
        <f>AND(#REF!,"AAAAAFedvyE=")</f>
        <v>#REF!</v>
      </c>
      <c r="AI3" t="e">
        <f>AND(#REF!,"AAAAAFedvyI=")</f>
        <v>#REF!</v>
      </c>
      <c r="AJ3" t="e">
        <f>AND(#REF!,"AAAAAFedvyM=")</f>
        <v>#REF!</v>
      </c>
      <c r="AK3" t="e">
        <f>AND(#REF!,"AAAAAFedvyQ=")</f>
        <v>#REF!</v>
      </c>
      <c r="AL3" t="e">
        <f>AND(#REF!,"AAAAAFedvyU=")</f>
        <v>#REF!</v>
      </c>
      <c r="AM3" t="e">
        <f>AND(#REF!,"AAAAAFedvyY=")</f>
        <v>#REF!</v>
      </c>
      <c r="AN3" t="e">
        <f>IF(#REF!,"AAAAAFedvyc=",0)</f>
        <v>#REF!</v>
      </c>
      <c r="AO3" t="e">
        <f>AND(#REF!,"AAAAAFedvyg=")</f>
        <v>#REF!</v>
      </c>
      <c r="AP3" t="e">
        <f>AND(#REF!,"AAAAAFedvyk=")</f>
        <v>#REF!</v>
      </c>
      <c r="AQ3" t="e">
        <f>AND(#REF!,"AAAAAFedvyo=")</f>
        <v>#REF!</v>
      </c>
      <c r="AR3" t="e">
        <f>AND(#REF!,"AAAAAFedvys=")</f>
        <v>#REF!</v>
      </c>
      <c r="AS3" t="e">
        <f>AND(#REF!,"AAAAAFedvyw=")</f>
        <v>#REF!</v>
      </c>
      <c r="AT3" t="e">
        <f>AND(#REF!,"AAAAAFedvy0=")</f>
        <v>#REF!</v>
      </c>
      <c r="AU3" t="e">
        <f>AND(#REF!,"AAAAAFedvy4=")</f>
        <v>#REF!</v>
      </c>
      <c r="AV3" t="e">
        <f>AND(#REF!,"AAAAAFedvy8=")</f>
        <v>#REF!</v>
      </c>
      <c r="AW3" t="e">
        <f>AND(#REF!,"AAAAAFedvzA=")</f>
        <v>#REF!</v>
      </c>
      <c r="AX3" t="e">
        <f>AND(#REF!,"AAAAAFedvzE=")</f>
        <v>#REF!</v>
      </c>
      <c r="AY3" t="e">
        <f>AND(#REF!,"AAAAAFedvzI=")</f>
        <v>#REF!</v>
      </c>
      <c r="AZ3" t="e">
        <f>AND(#REF!,"AAAAAFedvzM=")</f>
        <v>#REF!</v>
      </c>
      <c r="BA3" t="e">
        <f>AND(#REF!,"AAAAAFedvzQ=")</f>
        <v>#REF!</v>
      </c>
      <c r="BB3" t="e">
        <f>AND(#REF!,"AAAAAFedvzU=")</f>
        <v>#REF!</v>
      </c>
      <c r="BC3" t="e">
        <f>AND(#REF!,"AAAAAFedvzY=")</f>
        <v>#REF!</v>
      </c>
      <c r="BD3" t="e">
        <f>AND(#REF!,"AAAAAFedvzc=")</f>
        <v>#REF!</v>
      </c>
      <c r="BE3" t="e">
        <f>AND(#REF!,"AAAAAFedvzg=")</f>
        <v>#REF!</v>
      </c>
      <c r="BF3" t="e">
        <f>AND(#REF!,"AAAAAFedvzk=")</f>
        <v>#REF!</v>
      </c>
      <c r="BG3" t="e">
        <f>IF(#REF!,"AAAAAFedvzo=",0)</f>
        <v>#REF!</v>
      </c>
      <c r="BH3" t="e">
        <f>AND(#REF!,"AAAAAFedvzs=")</f>
        <v>#REF!</v>
      </c>
      <c r="BI3" t="e">
        <f>AND(#REF!,"AAAAAFedvzw=")</f>
        <v>#REF!</v>
      </c>
      <c r="BJ3" t="e">
        <f>AND(#REF!,"AAAAAFedvz0=")</f>
        <v>#REF!</v>
      </c>
      <c r="BK3" t="e">
        <f>AND(#REF!,"AAAAAFedvz4=")</f>
        <v>#REF!</v>
      </c>
      <c r="BL3" t="e">
        <f>AND(#REF!,"AAAAAFedvz8=")</f>
        <v>#REF!</v>
      </c>
      <c r="BM3" t="e">
        <f>AND(#REF!,"AAAAAFedv0A=")</f>
        <v>#REF!</v>
      </c>
      <c r="BN3" t="e">
        <f>AND(#REF!,"AAAAAFedv0E=")</f>
        <v>#REF!</v>
      </c>
      <c r="BO3" t="e">
        <f>AND(#REF!,"AAAAAFedv0I=")</f>
        <v>#REF!</v>
      </c>
      <c r="BP3" t="e">
        <f>AND(#REF!,"AAAAAFedv0M=")</f>
        <v>#REF!</v>
      </c>
      <c r="BQ3" t="e">
        <f>AND(#REF!,"AAAAAFedv0Q=")</f>
        <v>#REF!</v>
      </c>
      <c r="BR3" t="e">
        <f>AND(#REF!,"AAAAAFedv0U=")</f>
        <v>#REF!</v>
      </c>
      <c r="BS3" t="e">
        <f>AND(#REF!,"AAAAAFedv0Y=")</f>
        <v>#REF!</v>
      </c>
      <c r="BT3" t="e">
        <f>AND(#REF!,"AAAAAFedv0c=")</f>
        <v>#REF!</v>
      </c>
      <c r="BU3" t="e">
        <f>AND(#REF!,"AAAAAFedv0g=")</f>
        <v>#REF!</v>
      </c>
      <c r="BV3" t="e">
        <f>AND(#REF!,"AAAAAFedv0k=")</f>
        <v>#REF!</v>
      </c>
      <c r="BW3" t="e">
        <f>AND(#REF!,"AAAAAFedv0o=")</f>
        <v>#REF!</v>
      </c>
      <c r="BX3" t="e">
        <f>AND(#REF!,"AAAAAFedv0s=")</f>
        <v>#REF!</v>
      </c>
      <c r="BY3" t="e">
        <f>AND(#REF!,"AAAAAFedv0w=")</f>
        <v>#REF!</v>
      </c>
      <c r="BZ3" t="e">
        <f>IF(#REF!,"AAAAAFedv00=",0)</f>
        <v>#REF!</v>
      </c>
      <c r="CA3" t="e">
        <f>AND(#REF!,"AAAAAFedv04=")</f>
        <v>#REF!</v>
      </c>
      <c r="CB3" t="e">
        <f>AND(#REF!,"AAAAAFedv08=")</f>
        <v>#REF!</v>
      </c>
      <c r="CC3" t="e">
        <f>AND(#REF!,"AAAAAFedv1A=")</f>
        <v>#REF!</v>
      </c>
      <c r="CD3" t="e">
        <f>AND(#REF!,"AAAAAFedv1E=")</f>
        <v>#REF!</v>
      </c>
      <c r="CE3" t="e">
        <f>AND(#REF!,"AAAAAFedv1I=")</f>
        <v>#REF!</v>
      </c>
      <c r="CF3" t="e">
        <f>AND(#REF!,"AAAAAFedv1M=")</f>
        <v>#REF!</v>
      </c>
      <c r="CG3" t="e">
        <f>AND(#REF!,"AAAAAFedv1Q=")</f>
        <v>#REF!</v>
      </c>
      <c r="CH3" t="e">
        <f>AND(#REF!,"AAAAAFedv1U=")</f>
        <v>#REF!</v>
      </c>
      <c r="CI3" t="e">
        <f>AND(#REF!,"AAAAAFedv1Y=")</f>
        <v>#REF!</v>
      </c>
      <c r="CJ3" t="e">
        <f>AND(#REF!,"AAAAAFedv1c=")</f>
        <v>#REF!</v>
      </c>
      <c r="CK3" t="e">
        <f>AND(#REF!,"AAAAAFedv1g=")</f>
        <v>#REF!</v>
      </c>
      <c r="CL3" t="e">
        <f>AND(#REF!,"AAAAAFedv1k=")</f>
        <v>#REF!</v>
      </c>
      <c r="CM3" t="e">
        <f>AND(#REF!,"AAAAAFedv1o=")</f>
        <v>#REF!</v>
      </c>
      <c r="CN3" t="e">
        <f>AND(#REF!,"AAAAAFedv1s=")</f>
        <v>#REF!</v>
      </c>
      <c r="CO3" t="e">
        <f>AND(#REF!,"AAAAAFedv1w=")</f>
        <v>#REF!</v>
      </c>
      <c r="CP3" t="e">
        <f>AND(#REF!,"AAAAAFedv10=")</f>
        <v>#REF!</v>
      </c>
      <c r="CQ3" t="e">
        <f>AND(#REF!,"AAAAAFedv14=")</f>
        <v>#REF!</v>
      </c>
      <c r="CR3" t="e">
        <f>AND(#REF!,"AAAAAFedv18=")</f>
        <v>#REF!</v>
      </c>
      <c r="CS3" t="e">
        <f>IF(#REF!,"AAAAAFedv2A=",0)</f>
        <v>#REF!</v>
      </c>
      <c r="CT3" t="e">
        <f>AND(#REF!,"AAAAAFedv2E=")</f>
        <v>#REF!</v>
      </c>
      <c r="CU3" t="e">
        <f>AND(#REF!,"AAAAAFedv2I=")</f>
        <v>#REF!</v>
      </c>
      <c r="CV3" t="e">
        <f>AND(#REF!,"AAAAAFedv2M=")</f>
        <v>#REF!</v>
      </c>
      <c r="CW3" t="e">
        <f>AND(#REF!,"AAAAAFedv2Q=")</f>
        <v>#REF!</v>
      </c>
      <c r="CX3" t="e">
        <f>AND(#REF!,"AAAAAFedv2U=")</f>
        <v>#REF!</v>
      </c>
      <c r="CY3" t="e">
        <f>AND(#REF!,"AAAAAFedv2Y=")</f>
        <v>#REF!</v>
      </c>
      <c r="CZ3" t="e">
        <f>AND(#REF!,"AAAAAFedv2c=")</f>
        <v>#REF!</v>
      </c>
      <c r="DA3" t="e">
        <f>AND(#REF!,"AAAAAFedv2g=")</f>
        <v>#REF!</v>
      </c>
      <c r="DB3" t="e">
        <f>AND(#REF!,"AAAAAFedv2k=")</f>
        <v>#REF!</v>
      </c>
      <c r="DC3" t="e">
        <f>AND(#REF!,"AAAAAFedv2o=")</f>
        <v>#REF!</v>
      </c>
      <c r="DD3" t="e">
        <f>AND(#REF!,"AAAAAFedv2s=")</f>
        <v>#REF!</v>
      </c>
      <c r="DE3" t="e">
        <f>AND(#REF!,"AAAAAFedv2w=")</f>
        <v>#REF!</v>
      </c>
      <c r="DF3" t="e">
        <f>AND(#REF!,"AAAAAFedv20=")</f>
        <v>#REF!</v>
      </c>
      <c r="DG3" t="e">
        <f>AND(#REF!,"AAAAAFedv24=")</f>
        <v>#REF!</v>
      </c>
      <c r="DH3" t="e">
        <f>AND(#REF!,"AAAAAFedv28=")</f>
        <v>#REF!</v>
      </c>
      <c r="DI3" t="e">
        <f>AND(#REF!,"AAAAAFedv3A=")</f>
        <v>#REF!</v>
      </c>
      <c r="DJ3" t="e">
        <f>AND(#REF!,"AAAAAFedv3E=")</f>
        <v>#REF!</v>
      </c>
      <c r="DK3" t="e">
        <f>AND(#REF!,"AAAAAFedv3I=")</f>
        <v>#REF!</v>
      </c>
      <c r="DL3" t="e">
        <f>IF(#REF!,"AAAAAFedv3M=",0)</f>
        <v>#REF!</v>
      </c>
      <c r="DM3" t="e">
        <f>AND(#REF!,"AAAAAFedv3Q=")</f>
        <v>#REF!</v>
      </c>
      <c r="DN3" t="e">
        <f>AND(#REF!,"AAAAAFedv3U=")</f>
        <v>#REF!</v>
      </c>
      <c r="DO3" t="e">
        <f>AND(#REF!,"AAAAAFedv3Y=")</f>
        <v>#REF!</v>
      </c>
      <c r="DP3" t="e">
        <f>AND(#REF!,"AAAAAFedv3c=")</f>
        <v>#REF!</v>
      </c>
      <c r="DQ3" t="e">
        <f>AND(#REF!,"AAAAAFedv3g=")</f>
        <v>#REF!</v>
      </c>
      <c r="DR3" t="e">
        <f>AND(#REF!,"AAAAAFedv3k=")</f>
        <v>#REF!</v>
      </c>
      <c r="DS3" t="e">
        <f>AND(#REF!,"AAAAAFedv3o=")</f>
        <v>#REF!</v>
      </c>
      <c r="DT3" t="e">
        <f>AND(#REF!,"AAAAAFedv3s=")</f>
        <v>#REF!</v>
      </c>
      <c r="DU3" t="e">
        <f>AND(#REF!,"AAAAAFedv3w=")</f>
        <v>#REF!</v>
      </c>
      <c r="DV3" t="e">
        <f>AND(#REF!,"AAAAAFedv30=")</f>
        <v>#REF!</v>
      </c>
      <c r="DW3" t="e">
        <f>AND(#REF!,"AAAAAFedv34=")</f>
        <v>#REF!</v>
      </c>
      <c r="DX3" t="e">
        <f>AND(#REF!,"AAAAAFedv38=")</f>
        <v>#REF!</v>
      </c>
      <c r="DY3" t="e">
        <f>AND(#REF!,"AAAAAFedv4A=")</f>
        <v>#REF!</v>
      </c>
      <c r="DZ3" t="e">
        <f>AND(#REF!,"AAAAAFedv4E=")</f>
        <v>#REF!</v>
      </c>
      <c r="EA3" t="e">
        <f>AND(#REF!,"AAAAAFedv4I=")</f>
        <v>#REF!</v>
      </c>
      <c r="EB3" t="e">
        <f>AND(#REF!,"AAAAAFedv4M=")</f>
        <v>#REF!</v>
      </c>
      <c r="EC3" t="e">
        <f>AND(#REF!,"AAAAAFedv4Q=")</f>
        <v>#REF!</v>
      </c>
      <c r="ED3" t="e">
        <f>AND(#REF!,"AAAAAFedv4U=")</f>
        <v>#REF!</v>
      </c>
      <c r="EE3" t="e">
        <f>IF(#REF!,"AAAAAFedv4Y=",0)</f>
        <v>#REF!</v>
      </c>
      <c r="EF3" t="e">
        <f>AND(#REF!,"AAAAAFedv4c=")</f>
        <v>#REF!</v>
      </c>
      <c r="EG3" t="e">
        <f>AND(#REF!,"AAAAAFedv4g=")</f>
        <v>#REF!</v>
      </c>
      <c r="EH3" t="e">
        <f>AND(#REF!,"AAAAAFedv4k=")</f>
        <v>#REF!</v>
      </c>
      <c r="EI3" t="e">
        <f>AND(#REF!,"AAAAAFedv4o=")</f>
        <v>#REF!</v>
      </c>
      <c r="EJ3" t="e">
        <f>AND(#REF!,"AAAAAFedv4s=")</f>
        <v>#REF!</v>
      </c>
      <c r="EK3" t="e">
        <f>AND(#REF!,"AAAAAFedv4w=")</f>
        <v>#REF!</v>
      </c>
      <c r="EL3" t="e">
        <f>AND(#REF!,"AAAAAFedv40=")</f>
        <v>#REF!</v>
      </c>
      <c r="EM3" t="e">
        <f>AND(#REF!,"AAAAAFedv44=")</f>
        <v>#REF!</v>
      </c>
      <c r="EN3" t="e">
        <f>AND(#REF!,"AAAAAFedv48=")</f>
        <v>#REF!</v>
      </c>
      <c r="EO3" t="e">
        <f>AND(#REF!,"AAAAAFedv5A=")</f>
        <v>#REF!</v>
      </c>
      <c r="EP3" t="e">
        <f>AND(#REF!,"AAAAAFedv5E=")</f>
        <v>#REF!</v>
      </c>
      <c r="EQ3" t="e">
        <f>AND(#REF!,"AAAAAFedv5I=")</f>
        <v>#REF!</v>
      </c>
      <c r="ER3" t="e">
        <f>AND(#REF!,"AAAAAFedv5M=")</f>
        <v>#REF!</v>
      </c>
      <c r="ES3" t="e">
        <f>AND(#REF!,"AAAAAFedv5Q=")</f>
        <v>#REF!</v>
      </c>
      <c r="ET3" t="e">
        <f>AND(#REF!,"AAAAAFedv5U=")</f>
        <v>#REF!</v>
      </c>
      <c r="EU3" t="e">
        <f>AND(#REF!,"AAAAAFedv5Y=")</f>
        <v>#REF!</v>
      </c>
      <c r="EV3" t="e">
        <f>AND(#REF!,"AAAAAFedv5c=")</f>
        <v>#REF!</v>
      </c>
      <c r="EW3" t="e">
        <f>AND(#REF!,"AAAAAFedv5g=")</f>
        <v>#REF!</v>
      </c>
      <c r="EX3" t="e">
        <f>IF(#REF!,"AAAAAFedv5k=",0)</f>
        <v>#REF!</v>
      </c>
      <c r="EY3" t="e">
        <f>AND(#REF!,"AAAAAFedv5o=")</f>
        <v>#REF!</v>
      </c>
      <c r="EZ3" t="e">
        <f>AND(#REF!,"AAAAAFedv5s=")</f>
        <v>#REF!</v>
      </c>
      <c r="FA3" t="e">
        <f>AND(#REF!,"AAAAAFedv5w=")</f>
        <v>#REF!</v>
      </c>
      <c r="FB3" t="e">
        <f>AND(#REF!,"AAAAAFedv50=")</f>
        <v>#REF!</v>
      </c>
      <c r="FC3" t="e">
        <f>AND(#REF!,"AAAAAFedv54=")</f>
        <v>#REF!</v>
      </c>
      <c r="FD3" t="e">
        <f>AND(#REF!,"AAAAAFedv58=")</f>
        <v>#REF!</v>
      </c>
      <c r="FE3" t="e">
        <f>AND(#REF!,"AAAAAFedv6A=")</f>
        <v>#REF!</v>
      </c>
      <c r="FF3" t="e">
        <f>AND(#REF!,"AAAAAFedv6E=")</f>
        <v>#REF!</v>
      </c>
      <c r="FG3" t="e">
        <f>AND(#REF!,"AAAAAFedv6I=")</f>
        <v>#REF!</v>
      </c>
      <c r="FH3" t="e">
        <f>AND(#REF!,"AAAAAFedv6M=")</f>
        <v>#REF!</v>
      </c>
      <c r="FI3" t="e">
        <f>AND(#REF!,"AAAAAFedv6Q=")</f>
        <v>#REF!</v>
      </c>
      <c r="FJ3" t="e">
        <f>AND(#REF!,"AAAAAFedv6U=")</f>
        <v>#REF!</v>
      </c>
      <c r="FK3" t="e">
        <f>AND(#REF!,"AAAAAFedv6Y=")</f>
        <v>#REF!</v>
      </c>
      <c r="FL3" t="e">
        <f>AND(#REF!,"AAAAAFedv6c=")</f>
        <v>#REF!</v>
      </c>
      <c r="FM3" t="e">
        <f>AND(#REF!,"AAAAAFedv6g=")</f>
        <v>#REF!</v>
      </c>
      <c r="FN3" t="e">
        <f>AND(#REF!,"AAAAAFedv6k=")</f>
        <v>#REF!</v>
      </c>
      <c r="FO3" t="e">
        <f>AND(#REF!,"AAAAAFedv6o=")</f>
        <v>#REF!</v>
      </c>
      <c r="FP3" t="e">
        <f>AND(#REF!,"AAAAAFedv6s=")</f>
        <v>#REF!</v>
      </c>
      <c r="FQ3" t="e">
        <f>IF(#REF!,"AAAAAFedv6w=",0)</f>
        <v>#REF!</v>
      </c>
      <c r="FR3" t="e">
        <f>AND(#REF!,"AAAAAFedv60=")</f>
        <v>#REF!</v>
      </c>
      <c r="FS3" t="e">
        <f>AND(#REF!,"AAAAAFedv64=")</f>
        <v>#REF!</v>
      </c>
      <c r="FT3" t="e">
        <f>AND(#REF!,"AAAAAFedv68=")</f>
        <v>#REF!</v>
      </c>
      <c r="FU3" t="e">
        <f>AND(#REF!,"AAAAAFedv7A=")</f>
        <v>#REF!</v>
      </c>
      <c r="FV3" t="e">
        <f>AND(#REF!,"AAAAAFedv7E=")</f>
        <v>#REF!</v>
      </c>
      <c r="FW3" t="e">
        <f>AND(#REF!,"AAAAAFedv7I=")</f>
        <v>#REF!</v>
      </c>
      <c r="FX3" t="e">
        <f>AND(#REF!,"AAAAAFedv7M=")</f>
        <v>#REF!</v>
      </c>
      <c r="FY3" t="e">
        <f>AND(#REF!,"AAAAAFedv7Q=")</f>
        <v>#REF!</v>
      </c>
      <c r="FZ3" t="e">
        <f>AND(#REF!,"AAAAAFedv7U=")</f>
        <v>#REF!</v>
      </c>
      <c r="GA3" t="e">
        <f>AND(#REF!,"AAAAAFedv7Y=")</f>
        <v>#REF!</v>
      </c>
      <c r="GB3" t="e">
        <f>AND(#REF!,"AAAAAFedv7c=")</f>
        <v>#REF!</v>
      </c>
      <c r="GC3" t="e">
        <f>AND(#REF!,"AAAAAFedv7g=")</f>
        <v>#REF!</v>
      </c>
      <c r="GD3" t="e">
        <f>AND(#REF!,"AAAAAFedv7k=")</f>
        <v>#REF!</v>
      </c>
      <c r="GE3" t="e">
        <f>AND(#REF!,"AAAAAFedv7o=")</f>
        <v>#REF!</v>
      </c>
      <c r="GF3" t="e">
        <f>AND(#REF!,"AAAAAFedv7s=")</f>
        <v>#REF!</v>
      </c>
      <c r="GG3" t="e">
        <f>AND(#REF!,"AAAAAFedv7w=")</f>
        <v>#REF!</v>
      </c>
      <c r="GH3" t="e">
        <f>AND(#REF!,"AAAAAFedv70=")</f>
        <v>#REF!</v>
      </c>
      <c r="GI3" t="e">
        <f>AND(#REF!,"AAAAAFedv74=")</f>
        <v>#REF!</v>
      </c>
      <c r="GJ3" t="e">
        <f>IF(#REF!,"AAAAAFedv78=",0)</f>
        <v>#REF!</v>
      </c>
      <c r="GK3" t="e">
        <f>AND(#REF!,"AAAAAFedv8A=")</f>
        <v>#REF!</v>
      </c>
      <c r="GL3" t="e">
        <f>AND(#REF!,"AAAAAFedv8E=")</f>
        <v>#REF!</v>
      </c>
      <c r="GM3" t="e">
        <f>AND(#REF!,"AAAAAFedv8I=")</f>
        <v>#REF!</v>
      </c>
      <c r="GN3" t="e">
        <f>AND(#REF!,"AAAAAFedv8M=")</f>
        <v>#REF!</v>
      </c>
      <c r="GO3" t="e">
        <f>AND(#REF!,"AAAAAFedv8Q=")</f>
        <v>#REF!</v>
      </c>
      <c r="GP3" t="e">
        <f>AND(#REF!,"AAAAAFedv8U=")</f>
        <v>#REF!</v>
      </c>
      <c r="GQ3" t="e">
        <f>AND(#REF!,"AAAAAFedv8Y=")</f>
        <v>#REF!</v>
      </c>
      <c r="GR3" t="e">
        <f>AND(#REF!,"AAAAAFedv8c=")</f>
        <v>#REF!</v>
      </c>
      <c r="GS3" t="e">
        <f>AND(#REF!,"AAAAAFedv8g=")</f>
        <v>#REF!</v>
      </c>
      <c r="GT3" t="e">
        <f>AND(#REF!,"AAAAAFedv8k=")</f>
        <v>#REF!</v>
      </c>
      <c r="GU3" t="e">
        <f>AND(#REF!,"AAAAAFedv8o=")</f>
        <v>#REF!</v>
      </c>
      <c r="GV3" t="e">
        <f>AND(#REF!,"AAAAAFedv8s=")</f>
        <v>#REF!</v>
      </c>
      <c r="GW3" t="e">
        <f>AND(#REF!,"AAAAAFedv8w=")</f>
        <v>#REF!</v>
      </c>
      <c r="GX3" t="e">
        <f>AND(#REF!,"AAAAAFedv80=")</f>
        <v>#REF!</v>
      </c>
      <c r="GY3" t="e">
        <f>AND(#REF!,"AAAAAFedv84=")</f>
        <v>#REF!</v>
      </c>
      <c r="GZ3" t="e">
        <f>AND(#REF!,"AAAAAFedv88=")</f>
        <v>#REF!</v>
      </c>
      <c r="HA3" t="e">
        <f>AND(#REF!,"AAAAAFedv9A=")</f>
        <v>#REF!</v>
      </c>
      <c r="HB3" t="e">
        <f>AND(#REF!,"AAAAAFedv9E=")</f>
        <v>#REF!</v>
      </c>
      <c r="HC3" t="e">
        <f>IF(#REF!,"AAAAAFedv9I=",0)</f>
        <v>#REF!</v>
      </c>
      <c r="HD3" t="e">
        <f>AND(#REF!,"AAAAAFedv9M=")</f>
        <v>#REF!</v>
      </c>
      <c r="HE3" t="e">
        <f>AND(#REF!,"AAAAAFedv9Q=")</f>
        <v>#REF!</v>
      </c>
      <c r="HF3" t="e">
        <f>AND(#REF!,"AAAAAFedv9U=")</f>
        <v>#REF!</v>
      </c>
      <c r="HG3" t="e">
        <f>AND(#REF!,"AAAAAFedv9Y=")</f>
        <v>#REF!</v>
      </c>
      <c r="HH3" t="e">
        <f>AND(#REF!,"AAAAAFedv9c=")</f>
        <v>#REF!</v>
      </c>
      <c r="HI3" t="e">
        <f>AND(#REF!,"AAAAAFedv9g=")</f>
        <v>#REF!</v>
      </c>
      <c r="HJ3" t="e">
        <f>AND(#REF!,"AAAAAFedv9k=")</f>
        <v>#REF!</v>
      </c>
      <c r="HK3" t="e">
        <f>AND(#REF!,"AAAAAFedv9o=")</f>
        <v>#REF!</v>
      </c>
      <c r="HL3" t="e">
        <f>AND(#REF!,"AAAAAFedv9s=")</f>
        <v>#REF!</v>
      </c>
      <c r="HM3" t="e">
        <f>AND(#REF!,"AAAAAFedv9w=")</f>
        <v>#REF!</v>
      </c>
      <c r="HN3" t="e">
        <f>AND(#REF!,"AAAAAFedv90=")</f>
        <v>#REF!</v>
      </c>
      <c r="HO3" t="e">
        <f>AND(#REF!,"AAAAAFedv94=")</f>
        <v>#REF!</v>
      </c>
      <c r="HP3" t="e">
        <f>AND(#REF!,"AAAAAFedv98=")</f>
        <v>#REF!</v>
      </c>
      <c r="HQ3" t="e">
        <f>AND(#REF!,"AAAAAFedv+A=")</f>
        <v>#REF!</v>
      </c>
      <c r="HR3" t="e">
        <f>AND(#REF!,"AAAAAFedv+E=")</f>
        <v>#REF!</v>
      </c>
      <c r="HS3" t="e">
        <f>AND(#REF!,"AAAAAFedv+I=")</f>
        <v>#REF!</v>
      </c>
      <c r="HT3" t="e">
        <f>AND(#REF!,"AAAAAFedv+M=")</f>
        <v>#REF!</v>
      </c>
      <c r="HU3" t="e">
        <f>AND(#REF!,"AAAAAFedv+Q=")</f>
        <v>#REF!</v>
      </c>
      <c r="HV3" t="e">
        <f>IF(#REF!,"AAAAAFedv+U=",0)</f>
        <v>#REF!</v>
      </c>
      <c r="HW3" t="e">
        <f>AND(#REF!,"AAAAAFedv+Y=")</f>
        <v>#REF!</v>
      </c>
      <c r="HX3" t="e">
        <f>AND(#REF!,"AAAAAFedv+c=")</f>
        <v>#REF!</v>
      </c>
      <c r="HY3" t="e">
        <f>AND(#REF!,"AAAAAFedv+g=")</f>
        <v>#REF!</v>
      </c>
      <c r="HZ3" t="e">
        <f>AND(#REF!,"AAAAAFedv+k=")</f>
        <v>#REF!</v>
      </c>
      <c r="IA3" t="e">
        <f>AND(#REF!,"AAAAAFedv+o=")</f>
        <v>#REF!</v>
      </c>
      <c r="IB3" t="e">
        <f>AND(#REF!,"AAAAAFedv+s=")</f>
        <v>#REF!</v>
      </c>
      <c r="IC3" t="e">
        <f>AND(#REF!,"AAAAAFedv+w=")</f>
        <v>#REF!</v>
      </c>
      <c r="ID3" t="e">
        <f>AND(#REF!,"AAAAAFedv+0=")</f>
        <v>#REF!</v>
      </c>
      <c r="IE3" t="e">
        <f>AND(#REF!,"AAAAAFedv+4=")</f>
        <v>#REF!</v>
      </c>
      <c r="IF3" t="e">
        <f>AND(#REF!,"AAAAAFedv+8=")</f>
        <v>#REF!</v>
      </c>
      <c r="IG3" t="e">
        <f>AND(#REF!,"AAAAAFedv/A=")</f>
        <v>#REF!</v>
      </c>
      <c r="IH3" t="e">
        <f>AND(#REF!,"AAAAAFedv/E=")</f>
        <v>#REF!</v>
      </c>
      <c r="II3" t="e">
        <f>AND(#REF!,"AAAAAFedv/I=")</f>
        <v>#REF!</v>
      </c>
      <c r="IJ3" t="e">
        <f>AND(#REF!,"AAAAAFedv/M=")</f>
        <v>#REF!</v>
      </c>
      <c r="IK3" t="e">
        <f>AND(#REF!,"AAAAAFedv/Q=")</f>
        <v>#REF!</v>
      </c>
      <c r="IL3" t="e">
        <f>AND(#REF!,"AAAAAFedv/U=")</f>
        <v>#REF!</v>
      </c>
      <c r="IM3" t="e">
        <f>AND(#REF!,"AAAAAFedv/Y=")</f>
        <v>#REF!</v>
      </c>
      <c r="IN3" t="e">
        <f>AND(#REF!,"AAAAAFedv/c=")</f>
        <v>#REF!</v>
      </c>
      <c r="IO3" t="e">
        <f>IF(#REF!,"AAAAAFedv/g=",0)</f>
        <v>#REF!</v>
      </c>
      <c r="IP3" t="e">
        <f>AND(#REF!,"AAAAAFedv/k=")</f>
        <v>#REF!</v>
      </c>
      <c r="IQ3" t="e">
        <f>AND(#REF!,"AAAAAFedv/o=")</f>
        <v>#REF!</v>
      </c>
      <c r="IR3" t="e">
        <f>AND(#REF!,"AAAAAFedv/s=")</f>
        <v>#REF!</v>
      </c>
      <c r="IS3" t="e">
        <f>IF(#REF!,"AAAAAFedv/w=",0)</f>
        <v>#REF!</v>
      </c>
      <c r="IT3" t="e">
        <f>AND(#REF!,"AAAAAFedv/0=")</f>
        <v>#REF!</v>
      </c>
      <c r="IU3" t="e">
        <f>AND(#REF!,"AAAAAFedv/4=")</f>
        <v>#REF!</v>
      </c>
      <c r="IV3" t="e">
        <f>AND(#REF!,"AAAAAFedv/8=")</f>
        <v>#REF!</v>
      </c>
    </row>
    <row r="4" ht="12.75" spans="1:82">
      <c r="A4" t="e">
        <f>IF(#REF!,"AAAAAEvf1wA=",0)</f>
        <v>#REF!</v>
      </c>
      <c r="B4" t="e">
        <f>AND(#REF!,"AAAAAEvf1wE=")</f>
        <v>#REF!</v>
      </c>
      <c r="C4" t="e">
        <f>AND(#REF!,"AAAAAEvf1wI=")</f>
        <v>#REF!</v>
      </c>
      <c r="D4" t="e">
        <f>AND(#REF!,"AAAAAEvf1wM=")</f>
        <v>#REF!</v>
      </c>
      <c r="E4" t="e">
        <f>IF(#REF!,"AAAAAEvf1wQ=",0)</f>
        <v>#REF!</v>
      </c>
      <c r="F4" t="e">
        <f>AND(#REF!,"AAAAAEvf1wU=")</f>
        <v>#REF!</v>
      </c>
      <c r="G4" t="e">
        <f>AND(#REF!,"AAAAAEvf1wY=")</f>
        <v>#REF!</v>
      </c>
      <c r="H4" t="e">
        <f>AND(#REF!,"AAAAAEvf1wc=")</f>
        <v>#REF!</v>
      </c>
      <c r="I4" t="e">
        <f>IF(#REF!,"AAAAAEvf1wg=",0)</f>
        <v>#REF!</v>
      </c>
      <c r="J4" t="e">
        <f>AND(#REF!,"AAAAAEvf1wk=")</f>
        <v>#REF!</v>
      </c>
      <c r="K4" t="e">
        <f>AND(#REF!,"AAAAAEvf1wo=")</f>
        <v>#REF!</v>
      </c>
      <c r="L4" t="e">
        <f>AND(#REF!,"AAAAAEvf1ws=")</f>
        <v>#REF!</v>
      </c>
      <c r="M4" t="e">
        <f>IF(#REF!,"AAAAAEvf1ww=",0)</f>
        <v>#REF!</v>
      </c>
      <c r="N4" t="e">
        <f>AND(#REF!,"AAAAAEvf1w0=")</f>
        <v>#REF!</v>
      </c>
      <c r="O4" t="e">
        <f>AND(#REF!,"AAAAAEvf1w4=")</f>
        <v>#REF!</v>
      </c>
      <c r="P4" t="e">
        <f>AND(#REF!,"AAAAAEvf1w8=")</f>
        <v>#REF!</v>
      </c>
      <c r="Q4" t="e">
        <f>IF(#REF!,"AAAAAEvf1xA=",0)</f>
        <v>#REF!</v>
      </c>
      <c r="R4" t="e">
        <f>AND(#REF!,"AAAAAEvf1xE=")</f>
        <v>#REF!</v>
      </c>
      <c r="S4" t="e">
        <f>AND(#REF!,"AAAAAEvf1xI=")</f>
        <v>#REF!</v>
      </c>
      <c r="T4" t="e">
        <f>AND(#REF!,"AAAAAEvf1xM=")</f>
        <v>#REF!</v>
      </c>
      <c r="U4" t="e">
        <f>IF(#REF!,"AAAAAEvf1xQ=",0)</f>
        <v>#REF!</v>
      </c>
      <c r="V4" t="e">
        <f>AND(#REF!,"AAAAAEvf1xU=")</f>
        <v>#REF!</v>
      </c>
      <c r="W4" t="e">
        <f>AND(#REF!,"AAAAAEvf1xY=")</f>
        <v>#REF!</v>
      </c>
      <c r="X4" t="e">
        <f>AND(#REF!,"AAAAAEvf1xc=")</f>
        <v>#REF!</v>
      </c>
      <c r="Y4" t="e">
        <f>IF(#REF!,"AAAAAEvf1xg=",0)</f>
        <v>#REF!</v>
      </c>
      <c r="Z4" t="e">
        <f>AND(#REF!,"AAAAAEvf1xk=")</f>
        <v>#REF!</v>
      </c>
      <c r="AA4" t="e">
        <f>AND(#REF!,"AAAAAEvf1xo=")</f>
        <v>#REF!</v>
      </c>
      <c r="AB4" t="e">
        <f>AND(#REF!,"AAAAAEvf1xs=")</f>
        <v>#REF!</v>
      </c>
      <c r="AC4" t="e">
        <f>IF(#REF!,"AAAAAEvf1xw=",0)</f>
        <v>#REF!</v>
      </c>
      <c r="AD4" t="e">
        <f>AND(#REF!,"AAAAAEvf1x0=")</f>
        <v>#REF!</v>
      </c>
      <c r="AE4" t="e">
        <f>AND(#REF!,"AAAAAEvf1x4=")</f>
        <v>#REF!</v>
      </c>
      <c r="AF4" t="e">
        <f>AND(#REF!,"AAAAAEvf1x8=")</f>
        <v>#REF!</v>
      </c>
      <c r="AG4" t="e">
        <f>IF(#REF!,"AAAAAEvf1yA=",0)</f>
        <v>#REF!</v>
      </c>
      <c r="AH4" t="e">
        <f>AND(#REF!,"AAAAAEvf1yE=")</f>
        <v>#REF!</v>
      </c>
      <c r="AI4" t="e">
        <f>AND(#REF!,"AAAAAEvf1yI=")</f>
        <v>#REF!</v>
      </c>
      <c r="AJ4" t="e">
        <f>AND(#REF!,"AAAAAEvf1yM=")</f>
        <v>#REF!</v>
      </c>
      <c r="AK4" t="e">
        <f>IF(#REF!,"AAAAAEvf1yQ=",0)</f>
        <v>#REF!</v>
      </c>
      <c r="AL4" t="e">
        <f>AND(#REF!,"AAAAAEvf1yU=")</f>
        <v>#REF!</v>
      </c>
      <c r="AM4" t="e">
        <f>AND(#REF!,"AAAAAEvf1yY=")</f>
        <v>#REF!</v>
      </c>
      <c r="AN4" t="e">
        <f>AND(#REF!,"AAAAAEvf1yc=")</f>
        <v>#REF!</v>
      </c>
      <c r="AO4" t="e">
        <f>IF(#REF!,"AAAAAEvf1yg=",0)</f>
        <v>#REF!</v>
      </c>
      <c r="AP4" t="e">
        <f>AND(#REF!,"AAAAAEvf1yk=")</f>
        <v>#REF!</v>
      </c>
      <c r="AQ4" t="e">
        <f>AND(#REF!,"AAAAAEvf1yo=")</f>
        <v>#REF!</v>
      </c>
      <c r="AR4" t="e">
        <f>AND(#REF!,"AAAAAEvf1ys=")</f>
        <v>#REF!</v>
      </c>
      <c r="AS4" t="e">
        <f>IF(#REF!,"AAAAAEvf1yw=",0)</f>
        <v>#REF!</v>
      </c>
      <c r="AT4" t="e">
        <f>AND(#REF!,"AAAAAEvf1y0=")</f>
        <v>#REF!</v>
      </c>
      <c r="AU4" t="e">
        <f>AND(#REF!,"AAAAAEvf1y4=")</f>
        <v>#REF!</v>
      </c>
      <c r="AV4" t="e">
        <f>AND(#REF!,"AAAAAEvf1y8=")</f>
        <v>#REF!</v>
      </c>
      <c r="AW4" t="e">
        <f>IF(#REF!,"AAAAAEvf1zA=",0)</f>
        <v>#REF!</v>
      </c>
      <c r="AX4" t="e">
        <f>AND(#REF!,"AAAAAEvf1zE=")</f>
        <v>#REF!</v>
      </c>
      <c r="AY4" t="e">
        <f>AND(#REF!,"AAAAAEvf1zI=")</f>
        <v>#REF!</v>
      </c>
      <c r="AZ4" t="e">
        <f>AND(#REF!,"AAAAAEvf1zM=")</f>
        <v>#REF!</v>
      </c>
      <c r="BA4" t="e">
        <f>IF(#REF!,"AAAAAEvf1zQ=",0)</f>
        <v>#REF!</v>
      </c>
      <c r="BB4" t="e">
        <f>AND(#REF!,"AAAAAEvf1zU=")</f>
        <v>#REF!</v>
      </c>
      <c r="BC4" t="e">
        <f>AND(#REF!,"AAAAAEvf1zY=")</f>
        <v>#REF!</v>
      </c>
      <c r="BD4" t="e">
        <f>AND(#REF!,"AAAAAEvf1zc=")</f>
        <v>#REF!</v>
      </c>
      <c r="BE4" t="e">
        <f>IF(#REF!,"AAAAAEvf1zg=",0)</f>
        <v>#REF!</v>
      </c>
      <c r="BF4" t="e">
        <f>IF(#REF!,"AAAAAEvf1zk=",0)</f>
        <v>#REF!</v>
      </c>
      <c r="BG4" t="e">
        <f>IF(#REF!,"AAAAAEvf1zo=",0)</f>
        <v>#REF!</v>
      </c>
      <c r="BH4" t="e">
        <f>IF(#REF!,"AAAAAEvf1zs=",0)</f>
        <v>#REF!</v>
      </c>
      <c r="BI4" t="e">
        <f>IF(#REF!,"AAAAAEvf1zw=",0)</f>
        <v>#REF!</v>
      </c>
      <c r="BJ4" t="e">
        <f>IF(#REF!,"AAAAAEvf1z0=",0)</f>
        <v>#REF!</v>
      </c>
      <c r="BK4" t="e">
        <f>IF(#REF!,"AAAAAEvf1z4=",0)</f>
        <v>#REF!</v>
      </c>
      <c r="BL4" t="e">
        <f>IF(#REF!,"AAAAAEvf1z8=",0)</f>
        <v>#REF!</v>
      </c>
      <c r="BM4" t="e">
        <f>IF(#REF!,"AAAAAEvf10A=",0)</f>
        <v>#REF!</v>
      </c>
      <c r="BN4" t="e">
        <f>IF(#REF!,"AAAAAEvf10E=",0)</f>
        <v>#REF!</v>
      </c>
      <c r="BO4" t="e">
        <f>IF(#REF!,"AAAAAEvf10I=",0)</f>
        <v>#REF!</v>
      </c>
      <c r="BP4" t="e">
        <f>IF(#REF!,"AAAAAEvf10M=",0)</f>
        <v>#REF!</v>
      </c>
      <c r="BQ4" t="e">
        <f>IF(#REF!,"AAAAAEvf10Q=",0)</f>
        <v>#REF!</v>
      </c>
      <c r="BR4" t="e">
        <f>IF(#REF!,"AAAAAEvf10U=",0)</f>
        <v>#REF!</v>
      </c>
      <c r="BS4" t="e">
        <f>IF(#REF!,"AAAAAEvf10Y=",0)</f>
        <v>#REF!</v>
      </c>
      <c r="BT4" t="e">
        <f>IF(#REF!,"AAAAAEvf10c=",0)</f>
        <v>#REF!</v>
      </c>
      <c r="BU4" t="e">
        <f>IF(#REF!,"AAAAAEvf10g=",0)</f>
        <v>#REF!</v>
      </c>
      <c r="BV4" t="e">
        <f>IF(#REF!,"AAAAAEvf10k=",0)</f>
        <v>#REF!</v>
      </c>
      <c r="BW4" s="127" t="s">
        <v>0</v>
      </c>
      <c r="BX4" s="128" t="s">
        <v>1</v>
      </c>
      <c r="BY4" t="s">
        <v>2</v>
      </c>
      <c r="BZ4" s="129" t="s">
        <v>3</v>
      </c>
      <c r="CA4" s="130" t="s">
        <v>4</v>
      </c>
      <c r="CB4" s="131" t="s">
        <v>5</v>
      </c>
      <c r="CC4" s="132" t="s">
        <v>6</v>
      </c>
      <c r="CD4" t="e">
        <f>IF("N",_xlnm.Print_Area,"AAAAAEvf11E=")</f>
        <v>#VALUE!</v>
      </c>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83"/>
  <sheetViews>
    <sheetView tabSelected="1" view="pageBreakPreview" zoomScaleNormal="100" zoomScaleSheetLayoutView="100" workbookViewId="0">
      <selection activeCell="L11" sqref="L11"/>
    </sheetView>
  </sheetViews>
  <sheetFormatPr defaultColWidth="12" defaultRowHeight="10.5"/>
  <cols>
    <col min="1" max="1" width="5.28571428571429" style="4" customWidth="1"/>
    <col min="2" max="2" width="21.5714285714286" style="4" customWidth="1"/>
    <col min="3" max="3" width="55" style="5" customWidth="1"/>
    <col min="4" max="4" width="4.14285714285714" style="6" customWidth="1"/>
    <col min="5" max="5" width="12" style="7" customWidth="1"/>
    <col min="6" max="6" width="13.2857142857143" style="8" customWidth="1"/>
    <col min="7" max="7" width="7.14285714285714" style="9" customWidth="1"/>
    <col min="8" max="8" width="6.42857142857143" style="9" customWidth="1"/>
    <col min="9" max="9" width="10.8571428571429" style="9" customWidth="1"/>
    <col min="10" max="10" width="16.2857142857143" style="7" customWidth="1"/>
    <col min="11" max="16384" width="12" style="10"/>
  </cols>
  <sheetData>
    <row r="1" ht="68.25" customHeight="1" spans="1:10">
      <c r="A1" s="11"/>
      <c r="B1" s="12"/>
      <c r="C1" s="12"/>
      <c r="D1" s="12"/>
      <c r="E1" s="12"/>
      <c r="F1" s="12"/>
      <c r="G1" s="12"/>
      <c r="H1" s="12"/>
      <c r="I1" s="12"/>
      <c r="J1" s="104"/>
    </row>
    <row r="2" ht="12.75" customHeight="1" spans="1:10">
      <c r="A2" s="13" t="s">
        <v>7</v>
      </c>
      <c r="B2" s="14"/>
      <c r="C2" s="15" t="s">
        <v>8</v>
      </c>
      <c r="D2" s="16"/>
      <c r="E2" s="17" t="s">
        <v>9</v>
      </c>
      <c r="F2" s="18" t="s">
        <v>10</v>
      </c>
      <c r="G2" s="19"/>
      <c r="H2" s="19"/>
      <c r="I2" s="19"/>
      <c r="J2" s="105"/>
    </row>
    <row r="3" ht="12.75" customHeight="1" spans="1:10">
      <c r="A3" s="20"/>
      <c r="B3" s="21"/>
      <c r="C3" s="22"/>
      <c r="D3" s="23"/>
      <c r="E3" s="24" t="s">
        <v>11</v>
      </c>
      <c r="F3" s="25" t="s">
        <v>12</v>
      </c>
      <c r="G3" s="26"/>
      <c r="H3" s="26"/>
      <c r="I3" s="26"/>
      <c r="J3" s="106"/>
    </row>
    <row r="4" ht="21" customHeight="1" spans="1:10">
      <c r="A4" s="20"/>
      <c r="B4" s="21"/>
      <c r="C4" s="22"/>
      <c r="D4" s="23"/>
      <c r="E4" s="24" t="s">
        <v>13</v>
      </c>
      <c r="F4" s="27" t="s">
        <v>14</v>
      </c>
      <c r="G4" s="28"/>
      <c r="H4" s="28"/>
      <c r="I4" s="28"/>
      <c r="J4" s="107"/>
    </row>
    <row r="5" ht="12.75" customHeight="1" spans="1:10">
      <c r="A5" s="20"/>
      <c r="B5" s="21"/>
      <c r="C5" s="22"/>
      <c r="D5" s="23"/>
      <c r="E5" s="24" t="s">
        <v>15</v>
      </c>
      <c r="F5" s="25" t="s">
        <v>16</v>
      </c>
      <c r="G5" s="26"/>
      <c r="H5" s="26"/>
      <c r="I5" s="26"/>
      <c r="J5" s="106"/>
    </row>
    <row r="6" ht="12.75" customHeight="1" spans="1:10">
      <c r="A6" s="20"/>
      <c r="B6" s="21"/>
      <c r="C6" s="22"/>
      <c r="D6" s="23"/>
      <c r="E6" s="24" t="s">
        <v>17</v>
      </c>
      <c r="F6" s="29" t="s">
        <v>18</v>
      </c>
      <c r="G6" s="30"/>
      <c r="H6" s="30"/>
      <c r="I6" s="30"/>
      <c r="J6" s="108"/>
    </row>
    <row r="7" ht="12.75" customHeight="1" spans="1:10">
      <c r="A7" s="20"/>
      <c r="B7" s="21"/>
      <c r="C7" s="31"/>
      <c r="D7" s="32"/>
      <c r="E7" s="24" t="s">
        <v>19</v>
      </c>
      <c r="F7" s="133" t="s">
        <v>20</v>
      </c>
      <c r="G7" s="30"/>
      <c r="H7" s="30"/>
      <c r="I7" s="30"/>
      <c r="J7" s="108"/>
    </row>
    <row r="8" ht="12.75" customHeight="1" spans="1:10">
      <c r="A8" s="33"/>
      <c r="B8" s="34"/>
      <c r="C8" s="35" t="s">
        <v>21</v>
      </c>
      <c r="D8" s="36"/>
      <c r="E8" s="24" t="s">
        <v>22</v>
      </c>
      <c r="F8" s="37" t="s">
        <v>23</v>
      </c>
      <c r="G8" s="30"/>
      <c r="H8" s="30"/>
      <c r="I8" s="30"/>
      <c r="J8" s="108"/>
    </row>
    <row r="9" ht="17.1" customHeight="1" spans="1:10">
      <c r="A9" s="38" t="s">
        <v>24</v>
      </c>
      <c r="B9" s="39"/>
      <c r="C9" s="39"/>
      <c r="D9" s="39"/>
      <c r="E9" s="39"/>
      <c r="F9" s="39"/>
      <c r="G9" s="39"/>
      <c r="H9" s="40"/>
      <c r="I9" s="40"/>
      <c r="J9" s="109"/>
    </row>
    <row r="10" ht="49.5" customHeight="1" spans="1:10">
      <c r="A10" s="41" t="s">
        <v>25</v>
      </c>
      <c r="B10" s="42"/>
      <c r="C10" s="42"/>
      <c r="D10" s="42"/>
      <c r="E10" s="42"/>
      <c r="F10" s="42"/>
      <c r="G10" s="42"/>
      <c r="H10" s="42"/>
      <c r="I10" s="42"/>
      <c r="J10" s="110"/>
    </row>
    <row r="11" s="1" customFormat="1" ht="21" customHeight="1" spans="1:10">
      <c r="A11" s="43" t="s">
        <v>26</v>
      </c>
      <c r="B11" s="44" t="s">
        <v>27</v>
      </c>
      <c r="C11" s="45" t="s">
        <v>28</v>
      </c>
      <c r="D11" s="46" t="s">
        <v>29</v>
      </c>
      <c r="E11" s="47" t="s">
        <v>30</v>
      </c>
      <c r="F11" s="47" t="s">
        <v>31</v>
      </c>
      <c r="G11" s="48" t="s">
        <v>32</v>
      </c>
      <c r="H11" s="48" t="s">
        <v>33</v>
      </c>
      <c r="I11" s="48" t="s">
        <v>34</v>
      </c>
      <c r="J11" s="111" t="s">
        <v>35</v>
      </c>
    </row>
    <row r="12" s="1" customFormat="1" ht="12.75" spans="1:10">
      <c r="A12" s="43"/>
      <c r="B12" s="44"/>
      <c r="C12" s="49"/>
      <c r="D12" s="46"/>
      <c r="E12" s="50"/>
      <c r="F12" s="50"/>
      <c r="G12" s="51"/>
      <c r="H12" s="51"/>
      <c r="I12" s="51"/>
      <c r="J12" s="111"/>
    </row>
    <row r="13" s="1" customFormat="1" ht="24" customHeight="1" spans="1:10">
      <c r="A13" s="52"/>
      <c r="B13" s="53"/>
      <c r="C13" s="54" t="s">
        <v>36</v>
      </c>
      <c r="D13" s="55"/>
      <c r="E13" s="56"/>
      <c r="F13" s="56"/>
      <c r="G13" s="57"/>
      <c r="H13" s="57"/>
      <c r="I13" s="57"/>
      <c r="J13" s="112"/>
    </row>
    <row r="14" s="1" customFormat="1" ht="40.5" customHeight="1" spans="1:10">
      <c r="A14" s="58">
        <v>1</v>
      </c>
      <c r="B14" s="59" t="s">
        <v>37</v>
      </c>
      <c r="C14" s="60" t="s">
        <v>38</v>
      </c>
      <c r="D14" s="61">
        <v>300</v>
      </c>
      <c r="E14" s="62">
        <v>140</v>
      </c>
      <c r="F14" s="63">
        <f>E14*D14</f>
        <v>42000</v>
      </c>
      <c r="G14" s="64" t="s">
        <v>39</v>
      </c>
      <c r="H14" s="65">
        <v>0.28</v>
      </c>
      <c r="I14" s="113">
        <f>F14*H14</f>
        <v>11760</v>
      </c>
      <c r="J14" s="114">
        <f>F14+I14</f>
        <v>53760</v>
      </c>
    </row>
    <row r="15" ht="15" spans="1:10">
      <c r="A15" s="66"/>
      <c r="B15" s="67" t="s">
        <v>40</v>
      </c>
      <c r="C15" s="68"/>
      <c r="D15" s="68"/>
      <c r="E15" s="69"/>
      <c r="F15" s="70">
        <f>SUM(F14:F14)</f>
        <v>42000</v>
      </c>
      <c r="G15" s="71"/>
      <c r="H15" s="72"/>
      <c r="I15" s="115"/>
      <c r="J15" s="116"/>
    </row>
    <row r="16" ht="12.75" spans="1:10">
      <c r="A16" s="73"/>
      <c r="B16" s="74"/>
      <c r="C16" s="74"/>
      <c r="D16" s="74"/>
      <c r="E16" s="75"/>
      <c r="F16" s="75"/>
      <c r="G16" s="74"/>
      <c r="H16" s="74"/>
      <c r="I16" s="74"/>
      <c r="J16" s="117"/>
    </row>
    <row r="17" ht="15.75" spans="1:10">
      <c r="A17" s="76" t="s">
        <v>41</v>
      </c>
      <c r="B17" s="77"/>
      <c r="C17" s="77"/>
      <c r="D17" s="77"/>
      <c r="E17" s="77"/>
      <c r="F17" s="77"/>
      <c r="G17" s="77"/>
      <c r="H17" s="78"/>
      <c r="I17" s="78"/>
      <c r="J17" s="118">
        <f>SUM(J14:J16)</f>
        <v>53760</v>
      </c>
    </row>
    <row r="18" ht="15" spans="1:10">
      <c r="A18" s="79"/>
      <c r="B18" s="79"/>
      <c r="C18" s="79"/>
      <c r="D18" s="79"/>
      <c r="E18" s="79"/>
      <c r="F18" s="79"/>
      <c r="G18" s="79"/>
      <c r="H18" s="79"/>
      <c r="I18" s="79"/>
      <c r="J18" s="79"/>
    </row>
    <row r="19" s="2" customFormat="1" ht="14.25" customHeight="1" spans="1:11">
      <c r="A19" s="80" t="s">
        <v>42</v>
      </c>
      <c r="B19" s="81"/>
      <c r="C19" s="81"/>
      <c r="D19" s="81"/>
      <c r="E19" s="81"/>
      <c r="F19" s="81"/>
      <c r="G19" s="81"/>
      <c r="H19" s="81"/>
      <c r="I19" s="81"/>
      <c r="J19" s="119"/>
      <c r="K19" s="120"/>
    </row>
    <row r="20" s="2" customFormat="1" ht="14.25" customHeight="1" spans="1:11">
      <c r="A20" s="20" t="s">
        <v>43</v>
      </c>
      <c r="B20" s="82"/>
      <c r="C20" s="82"/>
      <c r="D20" s="82"/>
      <c r="E20" s="82"/>
      <c r="F20" s="82"/>
      <c r="G20" s="82"/>
      <c r="H20" s="82"/>
      <c r="I20" s="82"/>
      <c r="J20" s="121"/>
      <c r="K20" s="120"/>
    </row>
    <row r="21" s="2" customFormat="1" ht="14.25" customHeight="1" spans="1:11">
      <c r="A21" s="83" t="s">
        <v>44</v>
      </c>
      <c r="B21" s="84"/>
      <c r="C21" s="84" t="s">
        <v>45</v>
      </c>
      <c r="D21" s="84"/>
      <c r="E21" s="84"/>
      <c r="F21" s="84"/>
      <c r="G21" s="84"/>
      <c r="H21" s="85"/>
      <c r="I21" s="85"/>
      <c r="J21" s="122"/>
      <c r="K21" s="120"/>
    </row>
    <row r="22" s="2" customFormat="1" ht="14.25" customHeight="1" spans="1:11">
      <c r="A22" s="86" t="s">
        <v>46</v>
      </c>
      <c r="B22" s="87"/>
      <c r="C22" s="87" t="s">
        <v>47</v>
      </c>
      <c r="D22" s="87"/>
      <c r="E22" s="87"/>
      <c r="F22" s="87"/>
      <c r="G22" s="87"/>
      <c r="H22" s="88"/>
      <c r="I22" s="88"/>
      <c r="J22" s="123"/>
      <c r="K22" s="120"/>
    </row>
    <row r="23" s="2" customFormat="1" ht="23.25" customHeight="1" spans="1:11">
      <c r="A23" s="86" t="s">
        <v>48</v>
      </c>
      <c r="B23" s="87"/>
      <c r="C23" s="87" t="s">
        <v>49</v>
      </c>
      <c r="D23" s="87"/>
      <c r="E23" s="87"/>
      <c r="F23" s="87"/>
      <c r="G23" s="87"/>
      <c r="H23" s="88"/>
      <c r="I23" s="88"/>
      <c r="J23" s="123"/>
      <c r="K23" s="120"/>
    </row>
    <row r="24" s="2" customFormat="1" ht="14.25" customHeight="1" spans="1:11">
      <c r="A24" s="86" t="s">
        <v>50</v>
      </c>
      <c r="B24" s="87"/>
      <c r="C24" s="89" t="s">
        <v>51</v>
      </c>
      <c r="D24" s="89"/>
      <c r="E24" s="89"/>
      <c r="F24" s="89"/>
      <c r="G24" s="89"/>
      <c r="H24" s="90"/>
      <c r="I24" s="90"/>
      <c r="J24" s="124"/>
      <c r="K24" s="120"/>
    </row>
    <row r="25" s="2" customFormat="1" ht="14.25" customHeight="1" spans="1:11">
      <c r="A25" s="86" t="s">
        <v>52</v>
      </c>
      <c r="B25" s="87"/>
      <c r="C25" s="87" t="s">
        <v>53</v>
      </c>
      <c r="D25" s="87"/>
      <c r="E25" s="87"/>
      <c r="F25" s="87"/>
      <c r="G25" s="87"/>
      <c r="H25" s="88"/>
      <c r="I25" s="88"/>
      <c r="J25" s="123"/>
      <c r="K25" s="120"/>
    </row>
    <row r="26" s="2" customFormat="1" ht="14.25" customHeight="1" spans="1:11">
      <c r="A26" s="91" t="s">
        <v>54</v>
      </c>
      <c r="B26" s="89"/>
      <c r="C26" s="89" t="s">
        <v>55</v>
      </c>
      <c r="D26" s="89"/>
      <c r="E26" s="89"/>
      <c r="F26" s="89"/>
      <c r="G26" s="89"/>
      <c r="H26" s="90"/>
      <c r="I26" s="90"/>
      <c r="J26" s="124"/>
      <c r="K26" s="120"/>
    </row>
    <row r="27" ht="14.25" customHeight="1" spans="1:10">
      <c r="A27" s="91" t="s">
        <v>56</v>
      </c>
      <c r="B27" s="89"/>
      <c r="C27" s="89" t="s">
        <v>57</v>
      </c>
      <c r="D27" s="89"/>
      <c r="E27" s="89"/>
      <c r="F27" s="89"/>
      <c r="G27" s="89"/>
      <c r="H27" s="90"/>
      <c r="I27" s="90"/>
      <c r="J27" s="124"/>
    </row>
    <row r="28" ht="14.25" customHeight="1" spans="1:10">
      <c r="A28" s="92" t="s">
        <v>58</v>
      </c>
      <c r="B28" s="93"/>
      <c r="C28" s="93"/>
      <c r="D28" s="93"/>
      <c r="E28" s="93"/>
      <c r="F28" s="93"/>
      <c r="G28" s="93"/>
      <c r="H28" s="94"/>
      <c r="I28" s="94"/>
      <c r="J28" s="125"/>
    </row>
    <row r="29" s="2" customFormat="1" ht="14.25" customHeight="1" spans="1:11">
      <c r="A29" s="95" t="s">
        <v>59</v>
      </c>
      <c r="B29" s="96"/>
      <c r="C29" s="89" t="s">
        <v>60</v>
      </c>
      <c r="D29" s="89" t="s">
        <v>61</v>
      </c>
      <c r="E29" s="89" t="s">
        <v>61</v>
      </c>
      <c r="F29" s="89"/>
      <c r="G29" s="89" t="s">
        <v>61</v>
      </c>
      <c r="H29" s="90"/>
      <c r="I29" s="90"/>
      <c r="J29" s="124" t="s">
        <v>61</v>
      </c>
      <c r="K29" s="120"/>
    </row>
    <row r="30" ht="20.25" customHeight="1" spans="1:10">
      <c r="A30" s="97" t="s">
        <v>62</v>
      </c>
      <c r="B30" s="98"/>
      <c r="C30" s="89" t="s">
        <v>63</v>
      </c>
      <c r="D30" s="89" t="s">
        <v>63</v>
      </c>
      <c r="E30" s="89" t="s">
        <v>63</v>
      </c>
      <c r="F30" s="89"/>
      <c r="G30" s="89" t="s">
        <v>63</v>
      </c>
      <c r="H30" s="90"/>
      <c r="I30" s="90"/>
      <c r="J30" s="124" t="s">
        <v>63</v>
      </c>
    </row>
    <row r="31" s="2" customFormat="1" ht="14.25" customHeight="1" spans="1:11">
      <c r="A31" s="95" t="s">
        <v>64</v>
      </c>
      <c r="B31" s="96"/>
      <c r="C31" s="89" t="s">
        <v>65</v>
      </c>
      <c r="D31" s="89" t="s">
        <v>65</v>
      </c>
      <c r="E31" s="89" t="s">
        <v>65</v>
      </c>
      <c r="F31" s="89"/>
      <c r="G31" s="89" t="s">
        <v>65</v>
      </c>
      <c r="H31" s="90"/>
      <c r="I31" s="90"/>
      <c r="J31" s="124" t="s">
        <v>65</v>
      </c>
      <c r="K31" s="120"/>
    </row>
    <row r="32" ht="13.5" customHeight="1" spans="1:10">
      <c r="A32" s="95" t="s">
        <v>66</v>
      </c>
      <c r="B32" s="96"/>
      <c r="C32" s="89" t="s">
        <v>67</v>
      </c>
      <c r="D32" s="89" t="s">
        <v>67</v>
      </c>
      <c r="E32" s="89" t="s">
        <v>67</v>
      </c>
      <c r="F32" s="89"/>
      <c r="G32" s="89" t="s">
        <v>67</v>
      </c>
      <c r="H32" s="90"/>
      <c r="I32" s="90"/>
      <c r="J32" s="124" t="s">
        <v>67</v>
      </c>
    </row>
    <row r="33" s="2" customFormat="1" ht="14.25" customHeight="1" spans="1:11">
      <c r="A33" s="95" t="s">
        <v>68</v>
      </c>
      <c r="B33" s="96"/>
      <c r="C33" s="89" t="s">
        <v>69</v>
      </c>
      <c r="D33" s="89" t="s">
        <v>69</v>
      </c>
      <c r="E33" s="89" t="s">
        <v>69</v>
      </c>
      <c r="F33" s="89"/>
      <c r="G33" s="89" t="s">
        <v>69</v>
      </c>
      <c r="H33" s="90"/>
      <c r="I33" s="90"/>
      <c r="J33" s="124" t="s">
        <v>69</v>
      </c>
      <c r="K33" s="120"/>
    </row>
    <row r="34" ht="13.5" customHeight="1" spans="1:10">
      <c r="A34" s="95" t="s">
        <v>70</v>
      </c>
      <c r="B34" s="96"/>
      <c r="C34" s="89" t="s">
        <v>71</v>
      </c>
      <c r="D34" s="89" t="s">
        <v>71</v>
      </c>
      <c r="E34" s="89" t="s">
        <v>71</v>
      </c>
      <c r="F34" s="89"/>
      <c r="G34" s="89" t="s">
        <v>71</v>
      </c>
      <c r="H34" s="90"/>
      <c r="I34" s="90"/>
      <c r="J34" s="124" t="s">
        <v>71</v>
      </c>
    </row>
    <row r="35" ht="14.25" customHeight="1" spans="1:10">
      <c r="A35" s="95" t="s">
        <v>72</v>
      </c>
      <c r="B35" s="96"/>
      <c r="C35" s="89" t="s">
        <v>73</v>
      </c>
      <c r="D35" s="89" t="s">
        <v>73</v>
      </c>
      <c r="E35" s="89" t="s">
        <v>73</v>
      </c>
      <c r="F35" s="89"/>
      <c r="G35" s="89" t="s">
        <v>73</v>
      </c>
      <c r="H35" s="90"/>
      <c r="I35" s="90"/>
      <c r="J35" s="124" t="s">
        <v>73</v>
      </c>
    </row>
    <row r="36" s="2" customFormat="1" ht="14.25" customHeight="1" spans="1:11">
      <c r="A36" s="95" t="s">
        <v>52</v>
      </c>
      <c r="B36" s="96"/>
      <c r="C36" s="89" t="s">
        <v>74</v>
      </c>
      <c r="D36" s="89" t="s">
        <v>74</v>
      </c>
      <c r="E36" s="89" t="s">
        <v>74</v>
      </c>
      <c r="F36" s="89"/>
      <c r="G36" s="89" t="s">
        <v>74</v>
      </c>
      <c r="H36" s="90"/>
      <c r="I36" s="90"/>
      <c r="J36" s="124" t="s">
        <v>74</v>
      </c>
      <c r="K36" s="120"/>
    </row>
    <row r="37" s="2" customFormat="1" ht="14.25" customHeight="1" spans="1:11">
      <c r="A37" s="95" t="s">
        <v>75</v>
      </c>
      <c r="B37" s="96"/>
      <c r="C37" s="89" t="s">
        <v>76</v>
      </c>
      <c r="D37" s="89" t="s">
        <v>76</v>
      </c>
      <c r="E37" s="89" t="s">
        <v>76</v>
      </c>
      <c r="F37" s="89"/>
      <c r="G37" s="89" t="s">
        <v>76</v>
      </c>
      <c r="H37" s="90"/>
      <c r="I37" s="90"/>
      <c r="J37" s="124" t="s">
        <v>76</v>
      </c>
      <c r="K37" s="120"/>
    </row>
    <row r="38" s="2" customFormat="1" ht="14.25" customHeight="1" spans="1:11">
      <c r="A38" s="95" t="s">
        <v>77</v>
      </c>
      <c r="B38" s="96"/>
      <c r="C38" s="89" t="s">
        <v>78</v>
      </c>
      <c r="D38" s="89" t="s">
        <v>78</v>
      </c>
      <c r="E38" s="89" t="s">
        <v>78</v>
      </c>
      <c r="F38" s="89"/>
      <c r="G38" s="89" t="s">
        <v>78</v>
      </c>
      <c r="H38" s="90"/>
      <c r="I38" s="90"/>
      <c r="J38" s="124" t="s">
        <v>78</v>
      </c>
      <c r="K38" s="120"/>
    </row>
    <row r="39" s="2" customFormat="1" ht="14.25" customHeight="1" spans="1:11">
      <c r="A39" s="95" t="s">
        <v>79</v>
      </c>
      <c r="B39" s="96"/>
      <c r="C39" s="89" t="s">
        <v>80</v>
      </c>
      <c r="D39" s="89" t="s">
        <v>80</v>
      </c>
      <c r="E39" s="89" t="s">
        <v>80</v>
      </c>
      <c r="F39" s="89"/>
      <c r="G39" s="89" t="s">
        <v>80</v>
      </c>
      <c r="H39" s="90"/>
      <c r="I39" s="90"/>
      <c r="J39" s="124" t="s">
        <v>80</v>
      </c>
      <c r="K39" s="120"/>
    </row>
    <row r="40" s="2" customFormat="1" ht="38.25" customHeight="1" spans="1:11">
      <c r="A40" s="95" t="s">
        <v>81</v>
      </c>
      <c r="B40" s="96"/>
      <c r="C40" s="89" t="s">
        <v>82</v>
      </c>
      <c r="D40" s="89" t="s">
        <v>82</v>
      </c>
      <c r="E40" s="89" t="s">
        <v>82</v>
      </c>
      <c r="F40" s="89"/>
      <c r="G40" s="89" t="s">
        <v>82</v>
      </c>
      <c r="H40" s="90"/>
      <c r="I40" s="90"/>
      <c r="J40" s="124" t="s">
        <v>82</v>
      </c>
      <c r="K40" s="120"/>
    </row>
    <row r="41" ht="12.75" spans="1:10">
      <c r="A41" s="95" t="s">
        <v>83</v>
      </c>
      <c r="B41" s="96"/>
      <c r="C41" s="89" t="s">
        <v>84</v>
      </c>
      <c r="D41" s="89" t="s">
        <v>84</v>
      </c>
      <c r="E41" s="89" t="s">
        <v>84</v>
      </c>
      <c r="F41" s="89"/>
      <c r="G41" s="89" t="s">
        <v>84</v>
      </c>
      <c r="H41" s="90"/>
      <c r="I41" s="90"/>
      <c r="J41" s="124" t="s">
        <v>84</v>
      </c>
    </row>
    <row r="42" ht="14.25" customHeight="1" spans="1:10">
      <c r="A42" s="95" t="s">
        <v>85</v>
      </c>
      <c r="B42" s="96"/>
      <c r="C42" s="89" t="s">
        <v>86</v>
      </c>
      <c r="D42" s="89" t="s">
        <v>86</v>
      </c>
      <c r="E42" s="89" t="s">
        <v>86</v>
      </c>
      <c r="F42" s="89"/>
      <c r="G42" s="89" t="s">
        <v>86</v>
      </c>
      <c r="H42" s="90"/>
      <c r="I42" s="90"/>
      <c r="J42" s="124" t="s">
        <v>86</v>
      </c>
    </row>
    <row r="43" s="2" customFormat="1" ht="39.75" customHeight="1" spans="1:11">
      <c r="A43" s="95" t="s">
        <v>87</v>
      </c>
      <c r="B43" s="96"/>
      <c r="C43" s="89" t="s">
        <v>88</v>
      </c>
      <c r="D43" s="89" t="s">
        <v>88</v>
      </c>
      <c r="E43" s="89" t="s">
        <v>88</v>
      </c>
      <c r="F43" s="89"/>
      <c r="G43" s="89" t="s">
        <v>88</v>
      </c>
      <c r="H43" s="90"/>
      <c r="I43" s="90"/>
      <c r="J43" s="124" t="s">
        <v>88</v>
      </c>
      <c r="K43" s="120"/>
    </row>
    <row r="44" s="2" customFormat="1" ht="36.75" customHeight="1" spans="1:11">
      <c r="A44" s="95" t="s">
        <v>89</v>
      </c>
      <c r="B44" s="96"/>
      <c r="C44" s="89" t="s">
        <v>90</v>
      </c>
      <c r="D44" s="89" t="s">
        <v>90</v>
      </c>
      <c r="E44" s="89" t="s">
        <v>90</v>
      </c>
      <c r="F44" s="89"/>
      <c r="G44" s="89" t="s">
        <v>90</v>
      </c>
      <c r="H44" s="90"/>
      <c r="I44" s="90"/>
      <c r="J44" s="124" t="s">
        <v>90</v>
      </c>
      <c r="K44" s="120"/>
    </row>
    <row r="45" ht="14.25" customHeight="1" spans="1:10">
      <c r="A45" s="99" t="s">
        <v>91</v>
      </c>
      <c r="B45" s="100"/>
      <c r="C45" s="101" t="s">
        <v>92</v>
      </c>
      <c r="D45" s="101" t="s">
        <v>92</v>
      </c>
      <c r="E45" s="101" t="s">
        <v>92</v>
      </c>
      <c r="F45" s="101"/>
      <c r="G45" s="101" t="s">
        <v>92</v>
      </c>
      <c r="H45" s="102"/>
      <c r="I45" s="102"/>
      <c r="J45" s="126" t="s">
        <v>92</v>
      </c>
    </row>
    <row r="46" ht="18.95" customHeight="1" spans="1:10">
      <c r="A46" s="3"/>
      <c r="B46" s="3"/>
      <c r="C46" s="3"/>
      <c r="D46" s="3"/>
      <c r="E46" s="103"/>
      <c r="F46" s="103"/>
      <c r="G46" s="3"/>
      <c r="H46" s="3"/>
      <c r="I46" s="3"/>
      <c r="J46" s="103"/>
    </row>
    <row r="47" ht="12.75" customHeight="1" spans="1:10">
      <c r="A47" s="3"/>
      <c r="B47" s="3"/>
      <c r="C47" s="3"/>
      <c r="D47" s="3"/>
      <c r="E47" s="103"/>
      <c r="F47" s="103"/>
      <c r="G47" s="3"/>
      <c r="H47" s="3"/>
      <c r="I47" s="3"/>
      <c r="J47" s="103"/>
    </row>
    <row r="48" spans="1:10">
      <c r="A48" s="3"/>
      <c r="B48" s="3"/>
      <c r="C48" s="3"/>
      <c r="D48" s="3"/>
      <c r="E48" s="103"/>
      <c r="F48" s="103"/>
      <c r="G48" s="3"/>
      <c r="H48" s="3"/>
      <c r="I48" s="3"/>
      <c r="J48" s="103"/>
    </row>
    <row r="49" spans="1:10">
      <c r="A49" s="3"/>
      <c r="B49" s="3"/>
      <c r="C49" s="3"/>
      <c r="D49" s="3"/>
      <c r="E49" s="103"/>
      <c r="F49" s="103"/>
      <c r="G49" s="3"/>
      <c r="H49" s="3"/>
      <c r="I49" s="3"/>
      <c r="J49" s="103"/>
    </row>
    <row r="50" spans="1:10">
      <c r="A50" s="3"/>
      <c r="B50" s="3"/>
      <c r="C50" s="3"/>
      <c r="D50" s="3"/>
      <c r="E50" s="103"/>
      <c r="F50" s="103"/>
      <c r="G50" s="3"/>
      <c r="H50" s="3"/>
      <c r="I50" s="3"/>
      <c r="J50" s="103"/>
    </row>
    <row r="51" spans="1:10">
      <c r="A51" s="3"/>
      <c r="B51" s="3"/>
      <c r="C51" s="3"/>
      <c r="D51" s="3"/>
      <c r="E51" s="103"/>
      <c r="F51" s="103"/>
      <c r="G51" s="3"/>
      <c r="H51" s="3"/>
      <c r="I51" s="3"/>
      <c r="J51" s="103"/>
    </row>
    <row r="52" spans="1:10">
      <c r="A52" s="3"/>
      <c r="B52" s="3"/>
      <c r="C52" s="3"/>
      <c r="D52" s="3"/>
      <c r="E52" s="103"/>
      <c r="F52" s="103"/>
      <c r="G52" s="3"/>
      <c r="H52" s="3"/>
      <c r="I52" s="3"/>
      <c r="J52" s="103"/>
    </row>
    <row r="53" spans="1:10">
      <c r="A53" s="3"/>
      <c r="B53" s="3"/>
      <c r="C53" s="3"/>
      <c r="D53" s="3"/>
      <c r="E53" s="103"/>
      <c r="F53" s="103"/>
      <c r="G53" s="3"/>
      <c r="H53" s="3"/>
      <c r="I53" s="3"/>
      <c r="J53" s="103"/>
    </row>
    <row r="54" spans="1:10">
      <c r="A54" s="3"/>
      <c r="B54" s="3"/>
      <c r="C54" s="3"/>
      <c r="D54" s="3"/>
      <c r="E54" s="103"/>
      <c r="F54" s="103"/>
      <c r="G54" s="3"/>
      <c r="H54" s="3"/>
      <c r="I54" s="3"/>
      <c r="J54" s="103"/>
    </row>
    <row r="55" spans="1:10">
      <c r="A55" s="3"/>
      <c r="B55" s="3"/>
      <c r="C55" s="3"/>
      <c r="D55" s="3"/>
      <c r="E55" s="103"/>
      <c r="F55" s="103"/>
      <c r="G55" s="3"/>
      <c r="H55" s="3"/>
      <c r="I55" s="3"/>
      <c r="J55" s="103"/>
    </row>
    <row r="56" spans="1:10">
      <c r="A56" s="3"/>
      <c r="B56" s="3"/>
      <c r="C56" s="3"/>
      <c r="D56" s="3"/>
      <c r="E56" s="103"/>
      <c r="F56" s="103"/>
      <c r="G56" s="3"/>
      <c r="H56" s="3"/>
      <c r="I56" s="3"/>
      <c r="J56" s="103"/>
    </row>
    <row r="68" ht="30.2" customHeight="1"/>
    <row r="70" ht="31.5" customHeight="1"/>
    <row r="71" ht="29.25" customHeight="1"/>
    <row r="73" s="3" customFormat="1" spans="1:10">
      <c r="A73" s="4"/>
      <c r="B73" s="4"/>
      <c r="C73" s="5"/>
      <c r="D73" s="6"/>
      <c r="E73" s="7"/>
      <c r="F73" s="8"/>
      <c r="G73" s="9"/>
      <c r="H73" s="9"/>
      <c r="I73" s="9"/>
      <c r="J73" s="7"/>
    </row>
    <row r="74" s="3" customFormat="1" spans="1:10">
      <c r="A74" s="4"/>
      <c r="B74" s="4"/>
      <c r="C74" s="5"/>
      <c r="D74" s="6"/>
      <c r="E74" s="7"/>
      <c r="F74" s="8"/>
      <c r="G74" s="9"/>
      <c r="H74" s="9"/>
      <c r="I74" s="9"/>
      <c r="J74" s="7"/>
    </row>
    <row r="75" s="3" customFormat="1" ht="15.75" customHeight="1" spans="1:10">
      <c r="A75" s="4"/>
      <c r="B75" s="4"/>
      <c r="C75" s="5"/>
      <c r="D75" s="6"/>
      <c r="E75" s="7"/>
      <c r="F75" s="8"/>
      <c r="G75" s="9"/>
      <c r="H75" s="9"/>
      <c r="I75" s="9"/>
      <c r="J75" s="7"/>
    </row>
    <row r="76" s="3" customFormat="1" ht="15.75" customHeight="1" spans="1:10">
      <c r="A76" s="4"/>
      <c r="B76" s="4"/>
      <c r="C76" s="5"/>
      <c r="D76" s="6"/>
      <c r="E76" s="7"/>
      <c r="F76" s="8"/>
      <c r="G76" s="9"/>
      <c r="H76" s="9"/>
      <c r="I76" s="9"/>
      <c r="J76" s="7"/>
    </row>
    <row r="77" s="3" customFormat="1" ht="25.5" customHeight="1" spans="1:10">
      <c r="A77" s="4"/>
      <c r="B77" s="4"/>
      <c r="C77" s="5"/>
      <c r="D77" s="6"/>
      <c r="E77" s="7"/>
      <c r="F77" s="8"/>
      <c r="G77" s="9"/>
      <c r="H77" s="9"/>
      <c r="I77" s="9"/>
      <c r="J77" s="7"/>
    </row>
    <row r="78" s="3" customFormat="1" spans="1:10">
      <c r="A78" s="4"/>
      <c r="B78" s="4"/>
      <c r="C78" s="5"/>
      <c r="D78" s="6"/>
      <c r="E78" s="7"/>
      <c r="F78" s="8"/>
      <c r="G78" s="9"/>
      <c r="H78" s="9"/>
      <c r="I78" s="9"/>
      <c r="J78" s="7"/>
    </row>
    <row r="79" s="3" customFormat="1" ht="15.75" customHeight="1" spans="1:10">
      <c r="A79" s="4"/>
      <c r="B79" s="4"/>
      <c r="C79" s="5"/>
      <c r="D79" s="6"/>
      <c r="E79" s="7"/>
      <c r="F79" s="8"/>
      <c r="G79" s="9"/>
      <c r="H79" s="9"/>
      <c r="I79" s="9"/>
      <c r="J79" s="7"/>
    </row>
    <row r="80" s="3" customFormat="1" ht="15.75" customHeight="1" spans="1:10">
      <c r="A80" s="4"/>
      <c r="B80" s="4"/>
      <c r="C80" s="5"/>
      <c r="D80" s="6"/>
      <c r="E80" s="7"/>
      <c r="F80" s="8"/>
      <c r="G80" s="9"/>
      <c r="H80" s="9"/>
      <c r="I80" s="9"/>
      <c r="J80" s="7"/>
    </row>
    <row r="81" s="3" customFormat="1" ht="15.75" customHeight="1" spans="1:10">
      <c r="A81" s="4"/>
      <c r="B81" s="4"/>
      <c r="C81" s="5"/>
      <c r="D81" s="6"/>
      <c r="E81" s="7"/>
      <c r="F81" s="8"/>
      <c r="G81" s="9"/>
      <c r="H81" s="9"/>
      <c r="I81" s="9"/>
      <c r="J81" s="7"/>
    </row>
    <row r="82" s="3" customFormat="1" spans="1:10">
      <c r="A82" s="4"/>
      <c r="B82" s="4"/>
      <c r="C82" s="5"/>
      <c r="D82" s="6"/>
      <c r="E82" s="7"/>
      <c r="F82" s="8"/>
      <c r="G82" s="9"/>
      <c r="H82" s="9"/>
      <c r="I82" s="9"/>
      <c r="J82" s="7"/>
    </row>
    <row r="83" s="3" customFormat="1" spans="1:10">
      <c r="A83" s="4"/>
      <c r="B83" s="4"/>
      <c r="C83" s="5"/>
      <c r="D83" s="6"/>
      <c r="E83" s="7"/>
      <c r="F83" s="8"/>
      <c r="G83" s="9"/>
      <c r="H83" s="9"/>
      <c r="I83" s="9"/>
      <c r="J83" s="7"/>
    </row>
  </sheetData>
  <mergeCells count="75">
    <mergeCell ref="A1:J1"/>
    <mergeCell ref="F2:J2"/>
    <mergeCell ref="F3:J3"/>
    <mergeCell ref="F4:J4"/>
    <mergeCell ref="F5:J5"/>
    <mergeCell ref="F6:J6"/>
    <mergeCell ref="F7:J7"/>
    <mergeCell ref="C8:D8"/>
    <mergeCell ref="F8:J8"/>
    <mergeCell ref="A9:J9"/>
    <mergeCell ref="A10:J10"/>
    <mergeCell ref="B15:E15"/>
    <mergeCell ref="G15:I15"/>
    <mergeCell ref="A17:G17"/>
    <mergeCell ref="A18:J18"/>
    <mergeCell ref="A19:J19"/>
    <mergeCell ref="A20:J20"/>
    <mergeCell ref="A21:B21"/>
    <mergeCell ref="C21:J21"/>
    <mergeCell ref="A22:B22"/>
    <mergeCell ref="C22:J22"/>
    <mergeCell ref="A23:B23"/>
    <mergeCell ref="C23:J23"/>
    <mergeCell ref="A24:B24"/>
    <mergeCell ref="C24:J24"/>
    <mergeCell ref="A25:B25"/>
    <mergeCell ref="C25:J25"/>
    <mergeCell ref="A26:B26"/>
    <mergeCell ref="C26:J26"/>
    <mergeCell ref="A27:B27"/>
    <mergeCell ref="C27:J27"/>
    <mergeCell ref="A28:J28"/>
    <mergeCell ref="A29:B29"/>
    <mergeCell ref="C29:J29"/>
    <mergeCell ref="A30:B30"/>
    <mergeCell ref="C30:J30"/>
    <mergeCell ref="A31:B31"/>
    <mergeCell ref="C31:J31"/>
    <mergeCell ref="A32:B32"/>
    <mergeCell ref="C32:J32"/>
    <mergeCell ref="A33:B33"/>
    <mergeCell ref="C33:J33"/>
    <mergeCell ref="A34:B34"/>
    <mergeCell ref="C34:J34"/>
    <mergeCell ref="A35:B35"/>
    <mergeCell ref="C35:J35"/>
    <mergeCell ref="A36:B36"/>
    <mergeCell ref="C36:J36"/>
    <mergeCell ref="A37:B37"/>
    <mergeCell ref="C37:J37"/>
    <mergeCell ref="A38:B38"/>
    <mergeCell ref="C38:J38"/>
    <mergeCell ref="A39:B39"/>
    <mergeCell ref="C39:J39"/>
    <mergeCell ref="A40:B40"/>
    <mergeCell ref="C40:J40"/>
    <mergeCell ref="A41:B41"/>
    <mergeCell ref="C41:J41"/>
    <mergeCell ref="A42:B42"/>
    <mergeCell ref="C42:J42"/>
    <mergeCell ref="A43:B43"/>
    <mergeCell ref="C43:J43"/>
    <mergeCell ref="A44:B44"/>
    <mergeCell ref="C44:J44"/>
    <mergeCell ref="A45:B45"/>
    <mergeCell ref="C45:J45"/>
    <mergeCell ref="A11:A12"/>
    <mergeCell ref="B11:B12"/>
    <mergeCell ref="C11:C12"/>
    <mergeCell ref="D11:D12"/>
    <mergeCell ref="E11:E12"/>
    <mergeCell ref="F11:F12"/>
    <mergeCell ref="G11:G12"/>
    <mergeCell ref="A2:B8"/>
    <mergeCell ref="C2:D7"/>
  </mergeCells>
  <hyperlinks>
    <hyperlink ref="C45" r:id="rId2" display="www.connectivitysolutions.in"/>
    <hyperlink ref="D45" r:id="rId2" display="www.connectivitysolutions.in"/>
    <hyperlink ref="E45" r:id="rId2" display="www.connectivitysolutions.in"/>
    <hyperlink ref="G45" r:id="rId2" display="www.connectivitysolutions.in"/>
    <hyperlink ref="J45" r:id="rId2" display="www.connectivitysolutions.in"/>
    <hyperlink ref="F8" r:id="rId3" display="shivakumar@connectivitysolutions.in"/>
  </hyperlinks>
  <printOptions horizontalCentered="1" verticalCentered="1"/>
  <pageMargins left="0.0784722222222222" right="0.0784722222222222" top="0.0784722222222222" bottom="0.0784722222222222" header="0.0784722222222222" footer="0.0784722222222222"/>
  <pageSetup paperSize="9" scale="74" fitToHeight="0" orientation="portrait"/>
  <headerFooter alignWithMargins="0">
    <oddFooter>&amp;L&amp;"Geneva,Bold"&amp;8Connectivity Solutions &amp;"Geneva,Regular"# 1877, 1st Floor, “Gangothri”, 31st Cross, 10th Main, Banashankari 2nd Stage, Bangalore – 560070&amp;R&amp;P / &amp;N</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H20" sqref="H20"/>
    </sheetView>
  </sheetViews>
  <sheetFormatPr defaultColWidth="9" defaultRowHeight="12"/>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DV-IDENTITY-0</vt:lpstr>
      <vt:lpstr>Quote (2)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GOYAL</dc:creator>
  <cp:lastModifiedBy>Shivakumar</cp:lastModifiedBy>
  <dcterms:created xsi:type="dcterms:W3CDTF">2008-06-20T11:22:00Z</dcterms:created>
  <cp:lastPrinted>2017-07-04T13:16:00Z</cp:lastPrinted>
  <dcterms:modified xsi:type="dcterms:W3CDTF">2017-07-07T07:34:18Z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oogle.Documents.Tracking">
    <vt:lpwstr>true</vt:lpwstr>
  </property>
  <property fmtid="{D5CDD505-2E9C-101B-9397-08002B2CF9AE}" pid="3" name="Google.Documents.DocumentId">
    <vt:lpwstr>148A-uoC89qj3_z9e3oR7ZzzmkRvTeSM_rMcPIaSDugE</vt:lpwstr>
  </property>
  <property fmtid="{D5CDD505-2E9C-101B-9397-08002B2CF9AE}" pid="4" name="Google.Documents.RevisionId">
    <vt:lpwstr>07152521095016469309</vt:lpwstr>
  </property>
  <property fmtid="{D5CDD505-2E9C-101B-9397-08002B2CF9AE}" pid="5" name="Google.Documents.PreviousRevisionId">
    <vt:lpwstr>11591688269144590562</vt:lpwstr>
  </property>
  <property fmtid="{D5CDD505-2E9C-101B-9397-08002B2CF9AE}" pid="6" name="Google.Documents.PluginVersion">
    <vt:lpwstr>2.0.2662.553</vt:lpwstr>
  </property>
  <property fmtid="{D5CDD505-2E9C-101B-9397-08002B2CF9AE}" pid="7" name="Google.Documents.MergeIncapabilityFlags">
    <vt:i4>0</vt:i4>
  </property>
  <property fmtid="{D5CDD505-2E9C-101B-9397-08002B2CF9AE}" pid="8" name="KSOProductBuildVer">
    <vt:lpwstr>1033-10.2.0.5871</vt:lpwstr>
  </property>
</Properties>
</file>